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nc+/3bRJUO4Vpj+rDHKPuComLCbTubsTx0v0rDbT2u4zA1M/djDf7jDRqMuGkIFFvm/KUg69DKSueVe2/a7ww==" workbookSaltValue="MCrjq543GOf+nIn+f3351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Y14" i="8" s="1"/>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V28" i="16"/>
  <c r="BV13" i="16"/>
  <c r="BW13" i="20"/>
  <c r="BV21" i="16"/>
  <c r="BU29" i="17"/>
  <c r="BV11" i="16"/>
  <c r="BU20" i="17"/>
  <c r="BW29" i="20"/>
  <c r="BV10" i="16"/>
  <c r="BW22" i="20"/>
  <c r="BU18" i="17"/>
  <c r="BV29" i="16"/>
  <c r="S11" i="17"/>
  <c r="BU17" i="17"/>
  <c r="BV20" i="16"/>
  <c r="T14" i="16"/>
  <c r="AZ22" i="11"/>
  <c r="AA20" i="16"/>
  <c r="R28" i="14"/>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G23" i="14"/>
  <c r="X32" i="20"/>
  <c r="G30" i="14"/>
  <c r="BF17" i="8" l="1"/>
  <c r="AK31" i="8"/>
  <c r="BD12"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U10" i="17"/>
  <c r="BW16" i="20"/>
  <c r="BV25" i="16"/>
  <c r="BW17" i="20"/>
  <c r="BV17" i="16"/>
  <c r="BU21" i="17"/>
  <c r="BW9" i="20"/>
  <c r="BU11" i="17"/>
  <c r="BJ28" i="11"/>
  <c r="AZ9" i="11"/>
  <c r="AZ14" i="11" s="1"/>
  <c r="AZ13" i="11"/>
  <c r="BI19" i="11"/>
  <c r="BI25" i="11"/>
  <c r="BG22" i="11"/>
  <c r="Q18" i="20"/>
  <c r="Q23" i="20" s="1"/>
  <c r="V16" i="11"/>
  <c r="Z14" i="17"/>
  <c r="S21" i="17"/>
  <c r="BU9" i="17"/>
  <c r="BW11" i="20"/>
  <c r="X21" i="16"/>
  <c r="BV16" i="16"/>
  <c r="BU22" i="17"/>
  <c r="BW12" i="20"/>
  <c r="BW25" i="20"/>
  <c r="BV12" i="16"/>
  <c r="BU10" i="17"/>
  <c r="BW18" i="20"/>
  <c r="X20" i="16"/>
  <c r="BV18" i="16"/>
  <c r="BW19" i="20"/>
  <c r="BV19" i="16"/>
  <c r="BU25" i="17"/>
  <c r="BG21" i="11"/>
  <c r="AP18" i="20"/>
  <c r="AP26" i="21"/>
  <c r="BG19" i="11"/>
  <c r="V20" i="11"/>
  <c r="AP16" i="20"/>
  <c r="BJ16" i="11"/>
  <c r="V9" i="11"/>
  <c r="BM12" i="11"/>
  <c r="V11" i="11"/>
  <c r="BK29" i="11"/>
  <c r="BG20" i="11"/>
  <c r="BF28" i="11"/>
  <c r="BH16" i="16"/>
  <c r="BF13" i="11"/>
  <c r="BH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Z32" i="20"/>
  <c r="T32" i="20"/>
  <c r="AM32" i="20"/>
  <c r="Q32" i="20"/>
  <c r="W32" i="21"/>
  <c r="E32" i="20"/>
  <c r="AV32" i="20"/>
  <c r="O32" i="20"/>
  <c r="AQ32" i="21"/>
  <c r="Y32" i="20"/>
  <c r="L32" i="20"/>
  <c r="AJ32" i="20"/>
  <c r="AH32" i="20"/>
  <c r="I32" i="20"/>
  <c r="O18" i="11"/>
  <c r="AB32" i="20"/>
  <c r="AI32" i="20"/>
  <c r="S32" i="20"/>
  <c r="R32" i="20"/>
  <c r="N32" i="20"/>
  <c r="AA32" i="20"/>
  <c r="G14" i="14"/>
  <c r="AC32" i="20"/>
  <c r="AN32" i="20"/>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AW32" i="11"/>
  <c r="AV32" i="21"/>
  <c r="K32" i="20"/>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1"/>
  <c r="K32" i="17"/>
  <c r="BG32" i="16"/>
  <c r="K32" i="11"/>
  <c r="AA32" i="11"/>
  <c r="R32" i="21"/>
  <c r="BC32" i="21"/>
  <c r="AJ32" i="11"/>
  <c r="X32" i="16"/>
  <c r="AU32" i="21"/>
  <c r="T32" i="11"/>
  <c r="BE32" i="21"/>
  <c r="AP32" i="16"/>
  <c r="AG32" i="21"/>
  <c r="AE32" i="17"/>
  <c r="AB32" i="21"/>
  <c r="J32" i="11"/>
  <c r="R32" i="17"/>
  <c r="AO32" i="17"/>
  <c r="AL32" i="16"/>
  <c r="W32" i="17"/>
  <c r="I32" i="16"/>
  <c r="AR32" i="20"/>
  <c r="P32" i="11"/>
  <c r="M32" i="21"/>
  <c r="AT32" i="20"/>
  <c r="AP32" i="21"/>
  <c r="V32" i="17"/>
  <c r="N32" i="21"/>
  <c r="R32" i="16"/>
  <c r="E32" i="16"/>
  <c r="AI32" i="16"/>
  <c r="AD32" i="11"/>
  <c r="AB32" i="11"/>
  <c r="Q32" i="21"/>
  <c r="N32" i="17"/>
  <c r="S32" i="17"/>
  <c r="AR32" i="17"/>
  <c r="AE32" i="21"/>
  <c r="AT32" i="17"/>
  <c r="BJ32" i="16"/>
  <c r="M32" i="11"/>
  <c r="AJ32" i="16"/>
  <c r="AV32" i="17"/>
  <c r="AN32" i="21"/>
  <c r="V32" i="11"/>
  <c r="BO32" i="16"/>
  <c r="T32" i="17"/>
  <c r="AP32" i="17"/>
  <c r="AX32" i="16"/>
  <c r="N32" i="16"/>
  <c r="AW32" i="16"/>
  <c r="AF32" i="17"/>
  <c r="AC32" i="17"/>
  <c r="AN32" i="16"/>
  <c r="BF32" i="16"/>
  <c r="AH32" i="16"/>
  <c r="H32" i="11"/>
  <c r="AM32" i="17"/>
  <c r="AH32" i="11"/>
  <c r="AI32" i="17"/>
  <c r="BK32" i="16"/>
  <c r="F32" i="11"/>
  <c r="BI32" i="16"/>
  <c r="O32" i="17"/>
  <c r="Y32" i="16"/>
  <c r="AL32" i="21"/>
  <c r="BN32" i="16"/>
  <c r="AZ32" i="16"/>
  <c r="L32" i="11"/>
  <c r="I32" i="17"/>
  <c r="AF32" i="21"/>
  <c r="AD32" i="16"/>
  <c r="AJ32" i="21"/>
  <c r="AV32" i="16"/>
  <c r="F31" i="2" l="1"/>
  <c r="AQ32" i="17"/>
  <c r="AQ32" i="11"/>
  <c r="BL32" i="16"/>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<sst xmlns="http://schemas.openxmlformats.org/spreadsheetml/2006/main" count="2682" uniqueCount="1193">
  <si>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</si>
  <si>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</si>
  <si>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</si>
  <si>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</si>
  <si>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</si>
  <si>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</si>
  <si>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</si>
  <si>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</si>
  <si>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</si>
  <si>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</si>
  <si>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</si>
  <si>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</si>
  <si>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</si>
  <si>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</si>
  <si>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</si>
  <si>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</si>
  <si>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</si>
  <si>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</si>
  <si>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</si>
  <si>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</si>
  <si>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</si>
  <si>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</si>
  <si>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</si>
  <si>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</si>
  <si>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</si>
  <si>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</si>
  <si>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</si>
  <si>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</si>
  <si>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</si>
  <si>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</si>
  <si>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</si>
  <si>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</si>
  <si>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</si>
  <si>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</si>
  <si>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</si>
  <si>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</si>
  <si>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</si>
  <si>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</si>
  <si>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</si>
  <si>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</si>
  <si>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</si>
  <si>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</si>
  <si>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</si>
  <si>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</si>
  <si>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</si>
  <si>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</si>
  <si>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</si>
  <si>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</si>
  <si>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</si>
  <si>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</si>
  <si>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</si>
  <si>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</si>
  <si>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</si>
  <si>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</si>
  <si>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</si>
  <si>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</si>
  <si>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</si>
  <si>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</si>
  <si>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</si>
  <si>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</si>
  <si>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</si>
  <si>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</si>
  <si>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</si>
  <si>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</si>
  <si>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</si>
  <si>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</si>
  <si>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</si>
  <si>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</si>
  <si>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</si>
  <si>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</si>
  <si>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</si>
  <si>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</si>
  <si>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</si>
  <si>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</si>
  <si>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</si>
  <si>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</si>
  <si>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</si>
  <si>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</si>
  <si>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</si>
  <si>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</si>
  <si>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</si>
  <si>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</si>
  <si>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</si>
  <si>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</si>
  <si>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</si>
  <si>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</si>
  <si>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</si>
  <si>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</si>
  <si>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</si>
  <si>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</si>
  <si>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</si>
  <si>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</si>
  <si>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</si>
  <si>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</si>
  <si>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</si>
  <si>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</si>
  <si>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</si>
  <si>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</si>
  <si>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</si>
  <si>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</si>
  <si>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</si>
  <si>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</si>
  <si>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</si>
  <si>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</si>
  <si>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</si>
  <si>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</si>
  <si>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</si>
  <si>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</si>
  <si>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</si>
  <si>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</si>
  <si>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</si>
  <si>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</si>
  <si>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</si>
  <si>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</si>
  <si>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</si>
  <si>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</si>
  <si>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</si>
  <si>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</si>
  <si>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</si>
  <si>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</si>
  <si>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</si>
  <si>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</si>
  <si>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</si>
  <si>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</si>
  <si>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</si>
  <si>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</si>
  <si>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</si>
  <si>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</si>
  <si>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</si>
  <si>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</si>
  <si>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</si>
  <si>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</si>
  <si>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</si>
  <si>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</si>
  <si>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</si>
  <si>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</si>
  <si>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</si>
  <si>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</si>
  <si>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</si>
  <si>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</si>
  <si>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</si>
  <si>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</si>
  <si>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</si>
  <si>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</si>
  <si>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</si>
  <si>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</si>
  <si>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</si>
  <si>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</si>
  <si>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</si>
  <si>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</si>
  <si>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</si>
  <si>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</si>
  <si>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</si>
  <si>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</si>
  <si>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</si>
  <si>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</si>
  <si>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</si>
  <si>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</si>
  <si>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</si>
  <si>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</si>
  <si>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</si>
  <si>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</si>
  <si>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</si>
  <si>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</si>
  <si>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</si>
  <si>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</si>
  <si>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</si>
  <si>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</si>
  <si>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</si>
  <si>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</si>
  <si>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</si>
  <si>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</si>
  <si>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</si>
  <si>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</si>
  <si>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</si>
  <si>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</si>
  <si>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</si>
  <si>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</si>
  <si>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</si>
  <si>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</si>
  <si>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</si>
  <si>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</si>
  <si>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</si>
  <si>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</si>
  <si>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</si>
  <si>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</si>
  <si>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</si>
  <si>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</si>
  <si>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</si>
  <si>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</si>
  <si>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</si>
  <si>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</si>
  <si>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</si>
  <si>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</si>
  <si>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</si>
  <si>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</si>
  <si>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</si>
  <si>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</si>
  <si>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</si>
  <si>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</si>
  <si>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</si>
  <si>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</si>
  <si>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</si>
  <si>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</si>
  <si>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</si>
  <si>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</si>
  <si>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</si>
  <si>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</si>
  <si>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</si>
  <si>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</si>
  <si>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</si>
  <si>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</si>
  <si>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</si>
  <si>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</si>
  <si>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</si>
  <si>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</si>
  <si>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</si>
  <si>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</si>
  <si>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</si>
  <si>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</si>
  <si>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</si>
  <si>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</si>
  <si>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</si>
  <si>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</si>
  <si>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</si>
  <si>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</si>
  <si>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</si>
  <si>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</si>
  <si>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</si>
  <si>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</si>
  <si>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</si>
  <si>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</si>
  <si>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</si>
  <si>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</si>
  <si>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</si>
  <si>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</si>
  <si>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</si>
  <si>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</si>
  <si>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</si>
  <si>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</si>
  <si>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</si>
  <si>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</si>
  <si>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</si>
  <si>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</si>
  <si>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</si>
  <si>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</si>
  <si>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</si>
  <si>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</si>
  <si>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</si>
  <si>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</si>
  <si>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</si>
  <si>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</si>
  <si>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</si>
  <si>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</si>
  <si>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</si>
  <si>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</si>
  <si>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</si>
  <si>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</si>
  <si>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</si>
  <si>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</si>
  <si>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</si>
  <si>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</si>
  <si>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</si>
  <si>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</si>
  <si>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</si>
  <si>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</si>
  <si>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</si>
  <si>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</si>
  <si>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</si>
  <si>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</si>
  <si>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</si>
  <si>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</si>
  <si>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</si>
  <si>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</si>
  <si>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</si>
  <si>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</si>
  <si>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</si>
  <si>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</si>
  <si>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</si>
  <si>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</si>
  <si>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</si>
  <si>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</si>
  <si>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</si>
  <si>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</si>
  <si>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</si>
  <si>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</si>
  <si>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</si>
  <si>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</si>
  <si>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</si>
  <si>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</si>
  <si>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</si>
  <si>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</si>
  <si>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</si>
  <si>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</si>
  <si>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</si>
  <si>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</si>
  <si>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</si>
  <si>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</si>
  <si>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</si>
  <si>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</si>
  <si>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</si>
  <si>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</si>
  <si>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</si>
  <si>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</si>
  <si>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</si>
  <si>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</si>
  <si>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</si>
  <si>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</si>
  <si>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</si>
  <si>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</si>
  <si>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</si>
  <si>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</si>
  <si>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</si>
  <si>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</si>
  <si>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</si>
  <si>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</si>
  <si>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</si>
  <si>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</si>
  <si>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</si>
  <si>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</si>
  <si>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</si>
  <si>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</si>
  <si>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</si>
  <si>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</si>
  <si>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</si>
  <si>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</si>
  <si>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</si>
  <si>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</si>
  <si>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</si>
  <si>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</si>
  <si>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</si>
  <si>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</si>
  <si>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</si>
  <si>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</si>
  <si>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</si>
  <si>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</si>
  <si>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</si>
  <si>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</si>
  <si>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</si>
  <si>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</si>
  <si>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</si>
  <si>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</si>
  <si>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</si>
  <si>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</si>
  <si>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</si>
  <si>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</si>
  <si>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</si>
  <si>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</si>
  <si>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</si>
  <si>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</si>
  <si>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</si>
  <si>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</si>
  <si>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</si>
  <si>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</si>
  <si>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</si>
  <si>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</si>
  <si>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</si>
  <si>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</si>
  <si>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</si>
  <si>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</si>
  <si>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</si>
  <si>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</si>
  <si>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</si>
  <si>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</si>
  <si>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</si>
  <si>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</si>
  <si>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</si>
  <si>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</si>
  <si>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</si>
  <si>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</si>
  <si>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</si>
  <si>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</si>
  <si>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</si>
  <si>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</si>
  <si>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</si>
  <si>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</si>
  <si>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</si>
  <si>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</si>
  <si>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</si>
  <si>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</si>
  <si>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</si>
  <si>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</si>
  <si>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</si>
  <si>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</si>
  <si>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</si>
  <si>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</si>
  <si>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</si>
  <si>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</si>
  <si>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</si>
  <si>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</si>
  <si>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</si>
  <si>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</si>
  <si>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</si>
  <si>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</si>
  <si>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</si>
  <si>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</si>
  <si>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</si>
  <si>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</si>
  <si>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</si>
  <si>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</si>
  <si>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</si>
  <si>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</si>
  <si>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</si>
  <si>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</si>
  <si>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</si>
  <si>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</si>
  <si>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</si>
  <si>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</si>
  <si>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</si>
  <si>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</si>
  <si>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</si>
  <si>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</si>
  <si>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</si>
  <si>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</si>
  <si>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</si>
  <si>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</si>
  <si>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</si>
  <si>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</si>
  <si>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</si>
  <si>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</si>
  <si>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</si>
  <si>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</si>
  <si>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</si>
  <si>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</si>
  <si>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</si>
  <si>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</si>
  <si>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</si>
  <si>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</si>
  <si>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</si>
  <si>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</si>
  <si>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</si>
  <si>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</si>
  <si>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</si>
  <si>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</si>
  <si>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</si>
  <si>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</si>
  <si>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</si>
  <si>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</si>
  <si>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</si>
  <si>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</si>
  <si>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</si>
  <si>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</si>
  <si>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</si>
  <si>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</si>
  <si>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</si>
  <si>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</si>
  <si>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</si>
  <si>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</si>
  <si>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</si>
  <si>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</si>
  <si>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</si>
  <si>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</si>
  <si>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</si>
  <si>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</si>
  <si>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</si>
  <si>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</si>
  <si>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</si>
  <si>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</si>
  <si>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</si>
  <si>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</si>
  <si>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</si>
  <si>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</si>
  <si>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</si>
  <si>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</si>
  <si>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</si>
  <si>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</si>
  <si>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</si>
  <si>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</si>
  <si>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</si>
  <si>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</si>
  <si>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</si>
  <si>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</si>
  <si>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</si>
  <si>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</si>
  <si>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</si>
  <si>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</si>
  <si>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</si>
  <si>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</si>
  <si>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</si>
  <si>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</si>
  <si>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</si>
  <si>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</si>
  <si>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</si>
  <si>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</si>
  <si>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</si>
  <si>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</si>
  <si>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</si>
  <si>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</si>
  <si>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</si>
  <si>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</si>
  <si>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</si>
  <si>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</si>
  <si>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</si>
  <si>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</si>
  <si>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</si>
  <si>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</si>
  <si>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</si>
  <si>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</si>
  <si>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</si>
  <si>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</si>
  <si>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</si>
  <si>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</si>
  <si>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</si>
  <si>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</si>
  <si>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</si>
  <si>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</si>
  <si>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</si>
  <si>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</si>
  <si>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</si>
  <si>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</si>
  <si>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</si>
  <si>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</si>
  <si>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</si>
  <si>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</si>
  <si>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</si>
  <si>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</si>
  <si>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</si>
  <si>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</si>
  <si>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</si>
  <si>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</si>
  <si>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</si>
  <si>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</si>
  <si>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</si>
  <si>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</si>
  <si>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</si>
  <si>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</si>
  <si>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</si>
  <si>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</si>
  <si>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</si>
  <si>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</si>
  <si>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</si>
  <si>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</si>
  <si>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</si>
  <si>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</si>
  <si>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</si>
  <si>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</si>
  <si>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</si>
  <si>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</si>
  <si>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</si>
  <si>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</si>
  <si>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</si>
  <si>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</si>
  <si>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</si>
  <si>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</si>
  <si>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</si>
  <si>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</si>
  <si>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</si>
  <si>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</si>
  <si>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</si>
  <si>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</si>
  <si>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</si>
  <si>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</si>
  <si>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</si>
  <si>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</si>
  <si>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</si>
  <si>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</si>
  <si>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</si>
  <si>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</si>
  <si>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</si>
  <si>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</si>
  <si>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</si>
  <si>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</si>
  <si>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</si>
  <si>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</si>
  <si>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</si>
  <si>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</si>
  <si>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</si>
  <si>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</si>
  <si>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</si>
  <si>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</si>
  <si>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</si>
  <si>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</si>
  <si>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</si>
  <si>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</si>
  <si>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</si>
  <si>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</si>
  <si>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</si>
  <si>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</si>
  <si>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</si>
  <si>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</si>
  <si>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</si>
  <si>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</si>
  <si>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</si>
  <si>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</si>
  <si>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</si>
  <si>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</si>
  <si>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</si>
  <si>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</si>
  <si>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</si>
  <si>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</si>
  <si>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</si>
  <si>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</si>
  <si>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</si>
  <si>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</si>
  <si>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</si>
  <si>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</si>
  <si>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</si>
  <si>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</si>
  <si>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</si>
  <si>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</si>
  <si>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</si>
  <si>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</si>
  <si>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</si>
  <si>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</si>
  <si>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</si>
  <si>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</si>
  <si>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</si>
  <si>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</si>
  <si>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</si>
  <si>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</si>
  <si>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</si>
  <si>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</si>
  <si>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</si>
  <si>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</si>
  <si>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</si>
  <si>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</si>
  <si>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</si>
  <si>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</si>
  <si>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</si>
  <si>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</si>
  <si>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</si>
  <si>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</si>
  <si>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</si>
  <si>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</si>
  <si>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</si>
  <si>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</si>
  <si>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</si>
  <si>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</si>
  <si>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</si>
  <si>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</si>
  <si>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</si>
  <si>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</si>
  <si>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</si>
  <si>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</si>
  <si>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</si>
  <si>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</si>
  <si>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</si>
  <si>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</si>
  <si>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</si>
  <si>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</si>
  <si>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</si>
  <si>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</si>
  <si>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</si>
  <si>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</si>
  <si>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</si>
  <si>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</si>
  <si>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</si>
  <si>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</si>
  <si>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</si>
  <si>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</si>
  <si>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</si>
  <si>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</si>
  <si>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</si>
  <si>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</si>
  <si>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</si>
  <si>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</si>
  <si>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</si>
  <si>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</si>
  <si>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</si>
  <si>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</si>
  <si>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</si>
  <si>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</si>
  <si>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</si>
  <si>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</si>
  <si>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</si>
  <si>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</si>
  <si>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</si>
  <si>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</si>
  <si>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</si>
  <si>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</si>
  <si>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</si>
  <si>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</si>
  <si>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</si>
  <si>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</si>
  <si>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</si>
  <si>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</si>
  <si>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</si>
  <si>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</si>
  <si>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</si>
  <si>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</si>
  <si>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</si>
  <si>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</si>
  <si>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</si>
  <si>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</si>
  <si>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</si>
  <si>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</si>
  <si>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</si>
  <si>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</si>
  <si>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</si>
  <si>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</si>
  <si>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</si>
  <si>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</si>
  <si>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</si>
  <si>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</si>
  <si>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</si>
  <si>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</si>
  <si>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</si>
  <si>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</si>
  <si>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</si>
  <si>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</si>
  <si>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</si>
  <si>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</si>
  <si>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</si>
  <si>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</si>
  <si>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</si>
  <si>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</si>
  <si>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</si>
  <si>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</si>
  <si>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</si>
  <si>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</si>
  <si>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</si>
  <si>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</si>
  <si>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</si>
  <si>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</si>
  <si>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</si>
  <si>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</si>
  <si>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</si>
  <si>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</si>
  <si>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</si>
  <si>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</si>
  <si>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</si>
  <si>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</si>
  <si>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</si>
  <si>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</si>
  <si>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</si>
  <si>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</si>
  <si>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</si>
  <si>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</si>
  <si>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</si>
  <si>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</si>
  <si>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</si>
  <si>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</si>
  <si>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</si>
  <si>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</si>
  <si>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</si>
  <si>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</si>
  <si>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</si>
  <si>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</si>
  <si>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</si>
  <si>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</si>
  <si>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</si>
  <si>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</si>
  <si>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</si>
  <si>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</si>
  <si>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</si>
  <si>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</si>
  <si>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</si>
  <si>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</si>
  <si>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</si>
  <si>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</si>
  <si>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</si>
  <si>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</si>
  <si>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</si>
  <si>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</si>
  <si>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</si>
  <si>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</si>
  <si>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</si>
  <si>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</si>
  <si>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</si>
  <si>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</si>
  <si>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</si>
  <si>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</si>
  <si>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</si>
  <si>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</si>
  <si>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</si>
  <si>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</si>
  <si>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</si>
  <si>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</si>
  <si>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</si>
  <si>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</si>
  <si>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</si>
  <si>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</si>
  <si>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</si>
  <si>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</si>
  <si>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</si>
  <si>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</si>
  <si>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</si>
  <si>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</si>
  <si>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</si>
  <si>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</si>
  <si>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</si>
  <si>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</si>
  <si>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</si>
  <si>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</si>
  <si>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</si>
  <si>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</si>
  <si>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</si>
  <si>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</si>
  <si>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</si>
  <si>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</si>
  <si>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</si>
  <si>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</si>
  <si>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</si>
  <si>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</si>
  <si>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</si>
  <si>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</si>
  <si>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</si>
  <si>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</si>
  <si>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</si>
  <si>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</si>
  <si>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</si>
  <si>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</si>
  <si>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</si>
  <si>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</si>
  <si>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</si>
  <si>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</si>
  <si>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</si>
  <si>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</si>
  <si>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</si>
  <si>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</si>
  <si>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</si>
  <si>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</si>
  <si>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</si>
  <si>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</si>
  <si>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</si>
  <si>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</si>
  <si>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</si>
  <si>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</si>
  <si>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</si>
  <si>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</si>
  <si>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</si>
  <si>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</si>
  <si>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</si>
  <si>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</si>
  <si>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</si>
  <si>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</si>
  <si>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</si>
  <si>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</si>
  <si>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</si>
  <si>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</si>
  <si>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</si>
  <si>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</si>
  <si>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</si>
  <si>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</si>
  <si>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</si>
  <si>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</si>
  <si>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</si>
  <si>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</si>
  <si>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</si>
  <si>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</si>
  <si>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</si>
  <si>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</si>
  <si>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</si>
  <si>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</si>
  <si>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</si>
  <si>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</si>
  <si>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</si>
  <si>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</si>
  <si>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</si>
  <si>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</si>
  <si>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</si>
  <si>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</si>
  <si>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</si>
  <si>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</si>
  <si>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</si>
  <si>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</si>
  <si>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</si>
  <si>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</si>
  <si>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</si>
  <si>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</si>
  <si>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</si>
  <si>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</si>
  <si>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</si>
  <si>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</si>
  <si>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</si>
  <si>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</si>
  <si>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</si>
  <si>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</si>
  <si>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</si>
  <si>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</si>
  <si>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</si>
  <si>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</si>
  <si>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</si>
  <si>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</si>
  <si>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</si>
  <si>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</si>
  <si>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</si>
  <si>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</si>
  <si>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</si>
  <si>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</si>
  <si>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</si>
  <si>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</si>
  <si>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</si>
  <si>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</si>
  <si>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</si>
  <si>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</si>
  <si>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</si>
  <si>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</si>
  <si>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</si>
  <si>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</si>
  <si>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</si>
  <si>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</si>
  <si>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</si>
  <si>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</si>
  <si>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</si>
  <si>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</si>
  <si>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</si>
  <si>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</si>
  <si>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</si>
  <si>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</si>
  <si>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</si>
  <si>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</si>
  <si>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</si>
  <si>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</si>
  <si>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</si>
  <si>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</si>
  <si>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</si>
  <si>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</si>
  <si>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</si>
  <si>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</si>
  <si>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</si>
  <si>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</si>
  <si>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</si>
  <si>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</si>
  <si>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</si>
  <si>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</si>
  <si>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</si>
  <si>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</si>
  <si>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</si>
  <si>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</si>
  <si>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</si>
  <si>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</si>
  <si>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</si>
  <si>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</si>
  <si>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</si>
  <si>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</si>
  <si>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</si>
  <si>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</si>
  <si>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</si>
  <si>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</si>
  <si>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</si>
  <si>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</si>
  <si>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</si>
  <si>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</si>
  <si>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</si>
  <si>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</si>
  <si>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</si>
  <si>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</si>
  <si>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</si>
  <si>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</si>
  <si>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</si>
  <si>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</si>
  <si>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</si>
  <si>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</si>
  <si>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</si>
  <si>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</si>
  <si>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</si>
  <si>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</si>
  <si>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</si>
  <si>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</si>
  <si>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</si>
  <si>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</si>
  <si>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</si>
  <si>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</si>
  <si>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</si>
  <si>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</si>
  <si>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</si>
  <si>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</si>
  <si>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</si>
  <si>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</si>
  <si>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</si>
  <si>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</si>
  <si>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</si>
  <si>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</si>
  <si>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</si>
  <si>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</si>
  <si>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</si>
  <si>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</si>
  <si>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</si>
  <si>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</si>
  <si>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</si>
  <si>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</si>
  <si>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</si>
  <si>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</si>
  <si>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</si>
  <si>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</si>
  <si>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</si>
  <si>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</si>
  <si>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</si>
  <si>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</si>
  <si>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</si>
  <si>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</si>
  <si>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</si>
  <si>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</si>
  <si>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</si>
  <si>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</si>
  <si>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</si>
  <si>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</si>
  <si>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</si>
  <si>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</si>
  <si>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</si>
  <si>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</si>
  <si>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</si>
  <si>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</si>
  <si>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</si>
  <si>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</si>
  <si>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</si>
  <si>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</si>
  <si>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</si>
  <si>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</si>
  <si>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</si>
  <si>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</si>
  <si>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</si>
  <si>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</si>
  <si>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</si>
  <si>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</si>
  <si>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</si>
  <si>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</si>
  <si>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</si>
  <si>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</si>
  <si>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</si>
  <si>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</si>
  <si>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</si>
  <si>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</si>
  <si>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</si>
  <si>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</si>
  <si>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</si>
  <si>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</si>
  <si>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</si>
  <si>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</si>
  <si>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</si>
  <si>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</si>
  <si>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</si>
  <si>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</si>
  <si>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</si>
  <si>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</si>
  <si>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</si>
  <si>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</si>
  <si>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</si>
  <si>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</si>
  <si>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</si>
  <si>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</si>
  <si>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</si>
  <si>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</si>
  <si>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</si>
  <si>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</si>
  <si>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</si>
  <si>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</si>
  <si>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</si>
  <si>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</si>
  <si>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</si>
  <si>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</si>
  <si>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</si>
  <si>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</si>
  <si>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</si>
  <si>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</si>
  <si>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</si>
  <si>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</si>
  <si>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</si>
  <si>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</si>
  <si>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</si>
  <si>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</si>
  <si>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</si>
  <si>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</si>
  <si>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</si>
  <si>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</si>
  <si>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</si>
  <si>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</si>
  <si>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</si>
  <si>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</si>
  <si>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</si>
  <si>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</si>
  <si>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</si>
  <si>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</si>
  <si>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</si>
  <si>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</si>
  <si>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</si>
  <si>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</si>
  <si>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</si>
  <si>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</si>
  <si>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</si>
  <si>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</si>
  <si>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</si>
  <si>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</si>
  <si>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</si>
  <si>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</si>
  <si>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</si>
  <si>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</si>
  <si>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</si>
  <si>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</si>
  <si>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</si>
  <si>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</si>
  <si>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</si>
  <si>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</si>
  <si>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</si>
  <si>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</si>
  <si>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</si>
  <si>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</si>
  <si>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</si>
  <si>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</si>
  <si>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</si>
  <si>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</si>
  <si>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</si>
  <si>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</si>
  <si>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</si>
  <si>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</si>
  <si>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</si>
  <si>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</si>
  <si>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</si>
  <si>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</si>
  <si>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</si>
  <si>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</si>
  <si>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</si>
  <si>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</si>
  <si>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</si>
  <si>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</si>
  <si>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</si>
  <si>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</si>
  <si>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</si>
  <si>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</si>
  <si>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</si>
  <si>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</si>
  <si>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</si>
  <si>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</si>
  <si>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</si>
  <si>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</si>
  <si>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</si>
  <si>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</si>
  <si>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</si>
  <si>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</si>
  <si>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</si>
  <si>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</si>
  <si>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</si>
  <si>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</si>
  <si>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</si>
  <si>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</si>
  <si>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</si>
  <si>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</si>
  <si>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</si>
  <si>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</si>
  <si>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</si>
  <si>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</si>
  <si>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</si>
  <si>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</si>
  <si>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</si>
  <si>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</si>
  <si>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</si>
  <si>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</si>
  <si>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</si>
  <si>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</si>
  <si>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</si>
  <si>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</si>
  <si>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</si>
  <si>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</si>
  <si>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</si>
  <si>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</si>
  <si>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</si>
  <si>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</si>
  <si>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</si>
  <si>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</si>
  <si>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</si>
  <si>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</si>
  <si>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</si>
  <si>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</si>
  <si>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</si>
  <si>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</si>
  <si>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</si>
  <si>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</si>
  <si>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</si>
  <si>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</si>
  <si>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</si>
  <si>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</si>
  <si>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</si>
  <si>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</si>
  <si>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</si>
  <si>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</si>
  <si>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</si>
  <si>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</si>
  <si>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</si>
  <si>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</si>
  <si>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</si>
  <si>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</si>
  <si>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</si>
  <si>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</si>
  <si>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</si>
  <si>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</si>
  <si>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</si>
  <si>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</si>
  <si>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</si>
  <si>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</si>
  <si>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</si>
  <si>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</si>
  <si>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</si>
  <si>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</si>
  <si>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</si>
  <si>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</si>
  <si>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</si>
  <si>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</si>
  <si>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</si>
  <si>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</si>
  <si>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TARRAGONA</t>
  </si>
  <si>
    <t>Resumenes por Partidos Judiciales</t>
  </si>
  <si>
    <t>EL VENDRELL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</si>
</sst>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jzbcb49qFVE5UwFT/gfcBuGhFGKu4IDH7lBAT1LvQYEQtB7Atfheh2brhHbnY3CRI555Yt4smWcmwIWr+QWxQ==" saltValue="2KE2FI4pVvVeG0A0OilQ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72</v>
      </c>
      <c r="D10" s="239">
        <f>IF(ISNUMBER(Datos!I10),Datos!I10," - ")</f>
        <v>72</v>
      </c>
      <c r="E10" s="240">
        <f>IF(ISNUMBER(Datos!J10),Datos!J10," - ")</f>
        <v>149</v>
      </c>
      <c r="F10" s="240">
        <f>IF(ISNUMBER(Datos!K10),Datos!K10," - ")</f>
        <v>138</v>
      </c>
      <c r="G10" s="1390" t="str">
        <f>IF(Datos!E10&lt;&gt;"",Datos!E10,Datos!D10)</f>
        <v>37</v>
      </c>
      <c r="H10" s="241">
        <f>IF(ISNUMBER(Datos!L10),Datos!L10," - ")</f>
        <v>83</v>
      </c>
      <c r="I10" s="1400" t="str">
        <f>IF(ISNUMBER(Datos!AS10/Datos!BM10),Datos!AS10/Datos!BM10," - ")</f>
        <v xml:space="preserve"> - </v>
      </c>
      <c r="J10" s="1401">
        <f>IF(ISNUMBER(Datos!BY10/Datos!CN10),Datos!BY10/Datos!CN10," - ")</f>
        <v>0</v>
      </c>
      <c r="K10" s="244">
        <f t="shared" ref="K10:K13" si="1">IF(ISNUMBER((E10-F10)/C10),(E10-F10)/C10," - ")</f>
        <v>0.15277777777777779</v>
      </c>
      <c r="L10" s="1402">
        <f>IF(ISNUMBER(NºAsuntos!I10/NºAsuntos!G10),(NºAsuntos!I10/NºAsuntos!G10)*11," - ")</f>
        <v>6.6159420289855078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9</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7.9414078674948234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72</v>
      </c>
      <c r="D14" s="1407">
        <f>SUBTOTAL(9,D9:D13)</f>
        <v>72</v>
      </c>
      <c r="E14" s="1408">
        <f>SUBTOTAL(9,E9:E13)</f>
        <v>149</v>
      </c>
      <c r="F14" s="1409">
        <f>SUBTOTAL(9,F9:F13)</f>
        <v>138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9</v>
      </c>
      <c r="B17" s="1461" t="str">
        <f>Datos!A17</f>
        <v xml:space="preserve">Jdos. 1ª Instª. e Instr.                        </v>
      </c>
      <c r="C17" s="239">
        <f t="shared" si="2"/>
        <v>3712</v>
      </c>
      <c r="D17" s="239">
        <f>IF(ISNUMBER(IF(D_I="SI",Datos!I17,Datos!I17+Datos!AC17)),IF(D_I="SI",Datos!I17,Datos!I17+Datos!AC17)," - ")</f>
        <v>3636</v>
      </c>
      <c r="E17" s="240">
        <f>IF(ISNUMBER(IF(D_I="SI",Datos!J17,Datos!J17+Datos!AD17)),IF(D_I="SI",Datos!J17,Datos!J17+Datos!AD17)," - ")</f>
        <v>9366</v>
      </c>
      <c r="F17" s="240">
        <f>IF(ISNUMBER(IF(D_I="SI",Datos!K17,Datos!K17+Datos!AE17)),IF(D_I="SI",Datos!K17,Datos!K17+Datos!AE17)," - ")</f>
        <v>9091</v>
      </c>
      <c r="G17" s="1390" t="str">
        <f>IF(Datos!E17&lt;&gt;"",Datos!E17,Datos!D17)</f>
        <v>04</v>
      </c>
      <c r="H17" s="241">
        <f>IF(ISNUMBER(IF(D_I="SI",Datos!L17,Datos!L17+Datos!AF17)),IF(D_I="SI",Datos!L17,Datos!L17+Datos!AF17)," - ")</f>
        <v>3987</v>
      </c>
      <c r="I17" s="1400" t="str">
        <f>IF(ISNUMBER(Datos!AS17/Datos!BM17),Datos!AS17/Datos!BM17," - ")</f>
        <v xml:space="preserve"> - </v>
      </c>
      <c r="J17" s="1401">
        <f>IF(ISNUMBER(Datos!BY17/Datos!CN17),Datos!BY17/Datos!CN17," - ")</f>
        <v>0</v>
      </c>
      <c r="K17" s="244">
        <f t="shared" si="3"/>
        <v>7.4084051724137928E-2</v>
      </c>
      <c r="L17" s="1402">
        <f>IF(ISNUMBER(NºAsuntos!I17/NºAsuntos!G17),(NºAsuntos!I17/NºAsuntos!G17)*11," - ")</f>
        <v>4.8242217577824222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138</v>
      </c>
      <c r="D18" s="239">
        <f>IF(ISNUMBER(IF(D_I="SI",Datos!I18,Datos!I18+Datos!AC18)),IF(D_I="SI",Datos!I18,Datos!I18+Datos!AC18)," - ")</f>
        <v>109</v>
      </c>
      <c r="E18" s="240">
        <f>IF(ISNUMBER(IF(D_I="SI",Datos!J18,Datos!J18+Datos!AD18)),IF(D_I="SI",Datos!J18,Datos!J18+Datos!AD18)," - ")</f>
        <v>872</v>
      </c>
      <c r="F18" s="240">
        <f>IF(ISNUMBER(IF(D_I="SI",Datos!K18,Datos!K18+Datos!AE18)),IF(D_I="SI",Datos!K18,Datos!K18+Datos!AE18)," - ")</f>
        <v>927</v>
      </c>
      <c r="G18" s="1390" t="str">
        <f>IF(Datos!E18&lt;&gt;"",Datos!E18,Datos!D18)</f>
        <v>37</v>
      </c>
      <c r="H18" s="241">
        <f>IF(ISNUMBER(IF(D_I="SI",Datos!L18,Datos!L18+Datos!AF18)),IF(D_I="SI",Datos!L18,Datos!L18+Datos!AF18)," - ")</f>
        <v>83</v>
      </c>
      <c r="I18" s="1400" t="str">
        <f>IF(ISNUMBER(Datos!AS18/Datos!BM18),Datos!AS18/Datos!BM18," - ")</f>
        <v xml:space="preserve"> - </v>
      </c>
      <c r="J18" s="1401" t="str">
        <f>IF(ISNUMBER((Datos!BY18+Datos!BZ18)/Datos!CN18),(Datos!BY18+Datos!BZ18)/Datos!CN18," - ")</f>
        <v xml:space="preserve"> - </v>
      </c>
      <c r="K18" s="244">
        <f t="shared" si="3"/>
        <v>-0.39855072463768115</v>
      </c>
      <c r="L18" s="1402">
        <f>IF(ISNUMBER(NºAsuntos!I18/NºAsuntos!G18),(NºAsuntos!I18/NºAsuntos!G18)*11," - ")</f>
        <v>0.9848975188781014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3850</v>
      </c>
      <c r="D23" s="1407">
        <f>SUBTOTAL(9,D16:D22)</f>
        <v>3745</v>
      </c>
      <c r="E23" s="1408">
        <f>SUBTOTAL(9,E16:E22)</f>
        <v>10238</v>
      </c>
      <c r="F23" s="1408">
        <f>SUBTOTAL(9,F16:F22)</f>
        <v>10018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3922</v>
      </c>
      <c r="D31" s="1435">
        <f>SUBTOTAL(9,D9:D30)</f>
        <v>3817</v>
      </c>
      <c r="E31" s="1436">
        <f>SUBTOTAL(9,E9:E30)</f>
        <v>10387</v>
      </c>
      <c r="F31" s="1436">
        <f>SUBTOTAL(9,F9:F30)</f>
        <v>10156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lbsuLYC6d2FObl8TSKyxINAXc+84qFK56CdrOIGfdVC1NhnPrnDTF6m+AGWcuaDC/rvf2/4pllDp0yPLACw3xw==" saltValue="Ex5zGUR9ox48C03L0/pWv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kbJLFfmihiRfpIc5h5CtYe48O7pU8XU07BOUvh5MmVnOUZxBCSUr5B6JYZO4szgmBb46GXj0cOK3yowI9Jgtw==" saltValue="pHW6ZOfqqnsju7va2LOn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72</v>
      </c>
      <c r="J10" s="194">
        <v>149</v>
      </c>
      <c r="K10" s="194">
        <v>138</v>
      </c>
      <c r="L10" s="194">
        <v>83</v>
      </c>
      <c r="M10" s="194">
        <v>43</v>
      </c>
      <c r="N10" s="194">
        <v>54</v>
      </c>
      <c r="O10" s="194">
        <v>51</v>
      </c>
      <c r="P10" s="194">
        <v>20</v>
      </c>
      <c r="Q10" s="194">
        <v>15</v>
      </c>
      <c r="R10" s="194">
        <v>133</v>
      </c>
      <c r="S10" s="194">
        <v>87</v>
      </c>
      <c r="T10" s="194">
        <v>125</v>
      </c>
      <c r="U10" s="194">
        <v>129</v>
      </c>
      <c r="V10" s="194">
        <v>72</v>
      </c>
      <c r="W10" s="194">
        <v>38</v>
      </c>
      <c r="X10" s="201">
        <v>54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87</v>
      </c>
      <c r="AZ10" s="139">
        <f t="shared" si="0"/>
        <v>125</v>
      </c>
      <c r="BA10" s="139">
        <f t="shared" si="0"/>
        <v>129</v>
      </c>
      <c r="BB10" s="139">
        <f t="shared" si="0"/>
        <v>72</v>
      </c>
      <c r="BC10" s="135">
        <f t="shared" si="0"/>
        <v>38</v>
      </c>
      <c r="BD10" s="136">
        <f>IF(ISNUMBER(BA10/AZ10),BA10/AZ10," - ")</f>
        <v>1.032</v>
      </c>
      <c r="BE10" s="137">
        <f>IF(ISNUMBER(BB10/BA10),BB10/BA10, " - ")</f>
        <v>0.55813953488372092</v>
      </c>
      <c r="BF10" s="137">
        <f>IF(ISNUMBER(BC10/BA10),BC10/BA10, " - ")</f>
        <v>0.29457364341085274</v>
      </c>
      <c r="BG10" s="209">
        <f>IF(ISNUMBER((AY10+AZ10)/BA10),(AY10+AZ10)/BA10," - ")</f>
        <v>1.6434108527131783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6165</v>
      </c>
      <c r="J12" s="196">
        <v>9616</v>
      </c>
      <c r="K12" s="196">
        <v>9102</v>
      </c>
      <c r="L12" s="196">
        <v>6763</v>
      </c>
      <c r="M12" s="196">
        <v>2011</v>
      </c>
      <c r="N12" s="196">
        <v>3785</v>
      </c>
      <c r="O12" s="194">
        <v>4103</v>
      </c>
      <c r="P12" s="196">
        <v>2248</v>
      </c>
      <c r="Q12" s="196">
        <v>1230</v>
      </c>
      <c r="R12" s="196">
        <v>15394</v>
      </c>
      <c r="S12" s="196">
        <v>6015</v>
      </c>
      <c r="T12" s="196">
        <v>7272</v>
      </c>
      <c r="U12" s="196">
        <v>7068</v>
      </c>
      <c r="V12" s="196">
        <v>6165</v>
      </c>
      <c r="W12" s="196">
        <v>1992</v>
      </c>
      <c r="X12" s="202">
        <v>2371</v>
      </c>
      <c r="Y12" s="204">
        <v>195</v>
      </c>
      <c r="Z12" s="194">
        <v>581</v>
      </c>
      <c r="AA12" s="194">
        <v>558</v>
      </c>
      <c r="AB12" s="194">
        <v>211</v>
      </c>
      <c r="AC12" s="196">
        <v>0</v>
      </c>
      <c r="AD12" s="196">
        <v>0</v>
      </c>
      <c r="AE12" s="196">
        <v>0</v>
      </c>
      <c r="AF12" s="202">
        <v>0</v>
      </c>
      <c r="AG12" s="215">
        <v>205</v>
      </c>
      <c r="AH12" s="196">
        <v>422</v>
      </c>
      <c r="AI12" s="196">
        <v>431</v>
      </c>
      <c r="AJ12" s="216">
        <v>195</v>
      </c>
      <c r="AK12" s="195">
        <v>0</v>
      </c>
      <c r="AL12" s="196">
        <v>0</v>
      </c>
      <c r="AM12" s="196">
        <v>0</v>
      </c>
      <c r="AN12" s="202">
        <v>0</v>
      </c>
      <c r="AO12" s="283">
        <v>9</v>
      </c>
      <c r="AP12" s="168">
        <v>9</v>
      </c>
      <c r="AQ12" s="168">
        <v>9</v>
      </c>
      <c r="AR12" s="167">
        <v>9</v>
      </c>
      <c r="AS12" s="381" t="s">
        <v>1075</v>
      </c>
      <c r="AT12" s="216"/>
      <c r="AU12" s="215"/>
      <c r="AV12" s="216"/>
      <c r="AW12" s="215"/>
      <c r="AX12" s="216"/>
      <c r="AY12" s="136">
        <f t="shared" si="1"/>
        <v>6220</v>
      </c>
      <c r="AZ12" s="137">
        <f t="shared" si="1"/>
        <v>7694</v>
      </c>
      <c r="BA12" s="137">
        <f t="shared" si="1"/>
        <v>7499</v>
      </c>
      <c r="BB12" s="137">
        <f t="shared" si="1"/>
        <v>6360</v>
      </c>
      <c r="BC12" s="135">
        <f>IF(ISNUMBER(X12),X12," - ")</f>
        <v>2371</v>
      </c>
      <c r="BD12" s="136">
        <f t="shared" si="2"/>
        <v>0.97465557577332984</v>
      </c>
      <c r="BE12" s="137">
        <f t="shared" si="3"/>
        <v>0.84811308174423261</v>
      </c>
      <c r="BF12" s="137">
        <f t="shared" si="4"/>
        <v>0.31617549006534207</v>
      </c>
      <c r="BG12" s="209">
        <f t="shared" si="5"/>
        <v>1.8554473929857314</v>
      </c>
      <c r="BH12" s="168">
        <v>9</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6237</v>
      </c>
      <c r="J14" s="197">
        <f t="shared" si="7"/>
        <v>9765</v>
      </c>
      <c r="K14" s="197">
        <f t="shared" si="7"/>
        <v>9240</v>
      </c>
      <c r="L14" s="197">
        <f t="shared" si="7"/>
        <v>6846</v>
      </c>
      <c r="M14" s="197">
        <f t="shared" si="7"/>
        <v>2054</v>
      </c>
      <c r="N14" s="197">
        <f t="shared" si="7"/>
        <v>3839</v>
      </c>
      <c r="O14" s="197">
        <f t="shared" si="7"/>
        <v>4154</v>
      </c>
      <c r="P14" s="197">
        <f t="shared" si="7"/>
        <v>2268</v>
      </c>
      <c r="Q14" s="197">
        <f t="shared" si="7"/>
        <v>1245</v>
      </c>
      <c r="R14" s="197">
        <f t="shared" si="7"/>
        <v>15527</v>
      </c>
      <c r="S14" s="197">
        <f t="shared" si="7"/>
        <v>6102</v>
      </c>
      <c r="T14" s="197">
        <f t="shared" si="7"/>
        <v>7397</v>
      </c>
      <c r="U14" s="197">
        <f t="shared" si="7"/>
        <v>7197</v>
      </c>
      <c r="V14" s="197">
        <f t="shared" si="7"/>
        <v>6237</v>
      </c>
      <c r="W14" s="197">
        <f t="shared" si="7"/>
        <v>2030</v>
      </c>
      <c r="X14" s="197">
        <f t="shared" si="7"/>
        <v>2425</v>
      </c>
      <c r="Y14" s="197">
        <f t="shared" si="7"/>
        <v>195</v>
      </c>
      <c r="Z14" s="197">
        <f t="shared" si="7"/>
        <v>581</v>
      </c>
      <c r="AA14" s="197">
        <f t="shared" si="7"/>
        <v>558</v>
      </c>
      <c r="AB14" s="197">
        <f t="shared" si="7"/>
        <v>211</v>
      </c>
      <c r="AC14" s="197">
        <f t="shared" si="7"/>
        <v>0</v>
      </c>
      <c r="AD14" s="197">
        <f t="shared" si="7"/>
        <v>0</v>
      </c>
      <c r="AE14" s="197">
        <f t="shared" si="7"/>
        <v>0</v>
      </c>
      <c r="AF14" s="197">
        <f>SUBTOTAL(9,AF9:AF13)</f>
        <v>0</v>
      </c>
      <c r="AG14" s="197">
        <f t="shared" ref="AG14:AT14" si="8">SUBTOTAL(9,AG8:AG13)</f>
        <v>205</v>
      </c>
      <c r="AH14" s="197">
        <f t="shared" si="8"/>
        <v>422</v>
      </c>
      <c r="AI14" s="197">
        <f t="shared" si="8"/>
        <v>431</v>
      </c>
      <c r="AJ14" s="197">
        <f t="shared" si="8"/>
        <v>195</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6307</v>
      </c>
      <c r="AZ14" s="197">
        <f>SUBTOTAL(9,AZ8:AZ13)</f>
        <v>7819</v>
      </c>
      <c r="BA14" s="197">
        <f>SUBTOTAL(9,BA8:BA13)</f>
        <v>7628</v>
      </c>
      <c r="BB14" s="197">
        <f>SUBTOTAL(9,BB8:BB13)</f>
        <v>6432</v>
      </c>
      <c r="BC14" s="197">
        <f>SUBTOTAL(9,BC8:BC13)</f>
        <v>2409</v>
      </c>
      <c r="BD14" s="219">
        <f>IF(ISNUMBER(BA14/AZ14),BA14/AZ14," - ")</f>
        <v>0.97557232382657633</v>
      </c>
      <c r="BE14" s="220">
        <f>IF(ISNUMBER(BB14/BA14),BB14/BA14, " - ")</f>
        <v>0.84320922915574203</v>
      </c>
      <c r="BF14" s="220">
        <f>IF(ISNUMBER(BC14/BA14),BC14/BA14, " - ")</f>
        <v>0.31581017304667014</v>
      </c>
      <c r="BG14" s="221">
        <f>IF(ISNUMBER((AY14+AZ14)/BA14),(AY14+AZ14)/BA14," - ")</f>
        <v>1.8518615626638699</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3636</v>
      </c>
      <c r="J17" s="196">
        <v>9366</v>
      </c>
      <c r="K17" s="196">
        <v>9091</v>
      </c>
      <c r="L17" s="196">
        <v>3987</v>
      </c>
      <c r="M17" s="196">
        <v>1139</v>
      </c>
      <c r="N17" s="196">
        <v>4971</v>
      </c>
      <c r="O17" s="194">
        <v>113</v>
      </c>
      <c r="P17" s="196">
        <v>161</v>
      </c>
      <c r="Q17" s="196">
        <v>236</v>
      </c>
      <c r="R17" s="196">
        <v>407</v>
      </c>
      <c r="S17" s="196">
        <v>3337</v>
      </c>
      <c r="T17" s="196">
        <v>8536</v>
      </c>
      <c r="U17" s="196">
        <v>8382</v>
      </c>
      <c r="V17" s="196">
        <v>3636</v>
      </c>
      <c r="W17" s="196">
        <v>1052</v>
      </c>
      <c r="X17" s="202">
        <v>4860</v>
      </c>
      <c r="Y17" s="215">
        <v>0</v>
      </c>
      <c r="Z17" s="196">
        <v>0</v>
      </c>
      <c r="AA17" s="196">
        <v>0</v>
      </c>
      <c r="AB17" s="196">
        <v>0</v>
      </c>
      <c r="AC17" s="196">
        <v>0</v>
      </c>
      <c r="AD17" s="196">
        <v>168</v>
      </c>
      <c r="AE17" s="196">
        <v>167</v>
      </c>
      <c r="AF17" s="202">
        <v>1</v>
      </c>
      <c r="AG17" s="215">
        <v>0</v>
      </c>
      <c r="AH17" s="196">
        <v>0</v>
      </c>
      <c r="AI17" s="196">
        <v>0</v>
      </c>
      <c r="AJ17" s="216">
        <v>0</v>
      </c>
      <c r="AK17" s="195">
        <v>9</v>
      </c>
      <c r="AL17" s="196">
        <v>218</v>
      </c>
      <c r="AM17" s="196">
        <v>227</v>
      </c>
      <c r="AN17" s="202">
        <v>0</v>
      </c>
      <c r="AO17" s="283">
        <v>9</v>
      </c>
      <c r="AP17" s="168">
        <v>9</v>
      </c>
      <c r="AQ17" s="168">
        <v>9</v>
      </c>
      <c r="AR17" s="168">
        <v>9</v>
      </c>
      <c r="AS17" s="381" t="s">
        <v>650</v>
      </c>
      <c r="AT17" s="216"/>
      <c r="AU17" s="215"/>
      <c r="AV17" s="216"/>
      <c r="AW17" s="215"/>
      <c r="AX17" s="216"/>
      <c r="AY17" s="136">
        <f t="shared" si="10"/>
        <v>3337</v>
      </c>
      <c r="AZ17" s="137">
        <f t="shared" si="10"/>
        <v>8536</v>
      </c>
      <c r="BA17" s="137">
        <f t="shared" si="10"/>
        <v>8382</v>
      </c>
      <c r="BB17" s="137">
        <f t="shared" si="10"/>
        <v>3636</v>
      </c>
      <c r="BC17" s="135">
        <f>IF(ISNUMBER(W17),W17," - ")</f>
        <v>1052</v>
      </c>
      <c r="BD17" s="136">
        <f t="shared" ref="BD17:BD22" si="12">IF(ISNUMBER(BA17/AZ17),BA17/AZ17," - ")</f>
        <v>0.98195876288659789</v>
      </c>
      <c r="BE17" s="137">
        <f t="shared" ref="BE17:BE22" si="13">IF(ISNUMBER(BB17/BA17),BB17/BA17, " - ")</f>
        <v>0.43378668575518969</v>
      </c>
      <c r="BF17" s="137">
        <f t="shared" ref="BF17:BF22" si="14">IF(ISNUMBER(BC17/BA17),BC17/BA17, " - ")</f>
        <v>0.12550703889286566</v>
      </c>
      <c r="BG17" s="209">
        <f t="shared" si="11"/>
        <v>1.4164877117633023</v>
      </c>
      <c r="BH17" s="168">
        <v>9</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109</v>
      </c>
      <c r="J18" s="196">
        <v>872</v>
      </c>
      <c r="K18" s="196">
        <v>927</v>
      </c>
      <c r="L18" s="196">
        <v>83</v>
      </c>
      <c r="M18" s="196">
        <v>48</v>
      </c>
      <c r="N18" s="196">
        <v>477</v>
      </c>
      <c r="O18" s="196">
        <v>1</v>
      </c>
      <c r="P18" s="196">
        <v>6</v>
      </c>
      <c r="Q18" s="196">
        <v>1</v>
      </c>
      <c r="R18" s="196">
        <v>6</v>
      </c>
      <c r="S18" s="196">
        <v>143</v>
      </c>
      <c r="T18" s="196">
        <v>846</v>
      </c>
      <c r="U18" s="196">
        <v>903</v>
      </c>
      <c r="V18" s="196">
        <v>109</v>
      </c>
      <c r="W18" s="196">
        <v>77</v>
      </c>
      <c r="X18" s="202">
        <v>480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143</v>
      </c>
      <c r="AZ18" s="139">
        <f t="shared" si="15"/>
        <v>846</v>
      </c>
      <c r="BA18" s="139">
        <f t="shared" si="15"/>
        <v>903</v>
      </c>
      <c r="BB18" s="139">
        <f t="shared" si="15"/>
        <v>109</v>
      </c>
      <c r="BC18" s="135">
        <f>IF(ISNUMBER(W18),W18," - ")</f>
        <v>77</v>
      </c>
      <c r="BD18" s="136">
        <f>IF(ISNUMBER(BA18/AZ18),BA18/AZ18," - ")</f>
        <v>1.0673758865248226</v>
      </c>
      <c r="BE18" s="137">
        <f>IF(ISNUMBER(BB18/BA18),BB18/BA18, " - ")</f>
        <v>0.12070874861572536</v>
      </c>
      <c r="BF18" s="137">
        <f>IF(ISNUMBER(BC18/BA18),BC18/BA18, " - ")</f>
        <v>8.5271317829457363E-2</v>
      </c>
      <c r="BG18" s="209">
        <f>IF(ISNUMBER((AY18+AZ18)/BA18),(AY18+AZ18)/BA18," - ")</f>
        <v>1.0952380952380953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3745</v>
      </c>
      <c r="J23" s="197">
        <f t="shared" si="21"/>
        <v>10238</v>
      </c>
      <c r="K23" s="197">
        <f t="shared" si="21"/>
        <v>10018</v>
      </c>
      <c r="L23" s="197">
        <f t="shared" si="21"/>
        <v>4070</v>
      </c>
      <c r="M23" s="197">
        <f t="shared" si="21"/>
        <v>1187</v>
      </c>
      <c r="N23" s="197">
        <f t="shared" si="21"/>
        <v>5448</v>
      </c>
      <c r="O23" s="197">
        <f t="shared" si="21"/>
        <v>114</v>
      </c>
      <c r="P23" s="197">
        <f t="shared" si="21"/>
        <v>167</v>
      </c>
      <c r="Q23" s="197">
        <f t="shared" si="21"/>
        <v>237</v>
      </c>
      <c r="R23" s="197">
        <f t="shared" si="21"/>
        <v>413</v>
      </c>
      <c r="S23" s="197">
        <f t="shared" si="21"/>
        <v>3480</v>
      </c>
      <c r="T23" s="197">
        <f t="shared" si="21"/>
        <v>9382</v>
      </c>
      <c r="U23" s="197">
        <f t="shared" si="21"/>
        <v>9285</v>
      </c>
      <c r="V23" s="197">
        <f t="shared" si="21"/>
        <v>3745</v>
      </c>
      <c r="W23" s="197">
        <f t="shared" si="21"/>
        <v>1129</v>
      </c>
      <c r="X23" s="197">
        <f t="shared" si="21"/>
        <v>5340</v>
      </c>
      <c r="Y23" s="197">
        <f t="shared" si="21"/>
        <v>0</v>
      </c>
      <c r="Z23" s="197">
        <f t="shared" si="21"/>
        <v>0</v>
      </c>
      <c r="AA23" s="197">
        <f t="shared" si="21"/>
        <v>0</v>
      </c>
      <c r="AB23" s="197">
        <f t="shared" si="21"/>
        <v>0</v>
      </c>
      <c r="AC23" s="197">
        <f t="shared" si="21"/>
        <v>0</v>
      </c>
      <c r="AD23" s="197">
        <f t="shared" si="21"/>
        <v>168</v>
      </c>
      <c r="AE23" s="197">
        <f t="shared" si="21"/>
        <v>167</v>
      </c>
      <c r="AF23" s="197">
        <f t="shared" si="21"/>
        <v>1</v>
      </c>
      <c r="AG23" s="197">
        <f t="shared" si="21"/>
        <v>0</v>
      </c>
      <c r="AH23" s="197">
        <f t="shared" si="21"/>
        <v>0</v>
      </c>
      <c r="AI23" s="197">
        <f t="shared" si="21"/>
        <v>0</v>
      </c>
      <c r="AJ23" s="197">
        <f t="shared" si="21"/>
        <v>0</v>
      </c>
      <c r="AK23" s="197">
        <f t="shared" si="21"/>
        <v>9</v>
      </c>
      <c r="AL23" s="197">
        <f t="shared" si="21"/>
        <v>218</v>
      </c>
      <c r="AM23" s="197">
        <f t="shared" si="21"/>
        <v>227</v>
      </c>
      <c r="AN23" s="197">
        <f t="shared" si="21"/>
        <v>0</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3480</v>
      </c>
      <c r="AZ23" s="197">
        <f>SUBTOTAL(9,AZ15:AZ22)</f>
        <v>9382</v>
      </c>
      <c r="BA23" s="197">
        <f>SUBTOTAL(9,BA15:BA22)</f>
        <v>9285</v>
      </c>
      <c r="BB23" s="197">
        <f>SUBTOTAL(9,BB15:BB22)</f>
        <v>3745</v>
      </c>
      <c r="BC23" s="197">
        <f>SUBTOTAL(9,BC15:BC22)</f>
        <v>1129</v>
      </c>
      <c r="BD23" s="219">
        <f>IF(ISNUMBER(BA23/AZ23),BA23/AZ23," - ")</f>
        <v>0.98966105308036667</v>
      </c>
      <c r="BE23" s="220">
        <f>IF(ISNUMBER(BB23/BA23),BB23/BA23, " - ")</f>
        <v>0.40333871836295099</v>
      </c>
      <c r="BF23" s="220">
        <f>IF(ISNUMBER(BC23/BA23),BC23/BA23, " - ")</f>
        <v>0.12159396876682822</v>
      </c>
      <c r="BG23" s="221">
        <f>IF(ISNUMBER((AY23+AZ23)/BA23),(AY23+AZ23)/BA23," - ")</f>
        <v>1.3852450188476038</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9982</v>
      </c>
      <c r="J31" s="144">
        <f t="shared" si="36"/>
        <v>20003</v>
      </c>
      <c r="K31" s="144">
        <f t="shared" si="36"/>
        <v>19258</v>
      </c>
      <c r="L31" s="144">
        <f t="shared" si="36"/>
        <v>10916</v>
      </c>
      <c r="M31" s="144">
        <f t="shared" si="36"/>
        <v>3241</v>
      </c>
      <c r="N31" s="144">
        <f t="shared" si="36"/>
        <v>9287</v>
      </c>
      <c r="O31" s="144">
        <f t="shared" si="36"/>
        <v>4268</v>
      </c>
      <c r="P31" s="144">
        <f t="shared" si="36"/>
        <v>2435</v>
      </c>
      <c r="Q31" s="144">
        <f t="shared" si="36"/>
        <v>1482</v>
      </c>
      <c r="R31" s="144">
        <f t="shared" si="36"/>
        <v>15940</v>
      </c>
      <c r="S31" s="144">
        <f t="shared" si="36"/>
        <v>9582</v>
      </c>
      <c r="T31" s="144">
        <f t="shared" si="36"/>
        <v>16779</v>
      </c>
      <c r="U31" s="144">
        <f t="shared" si="36"/>
        <v>16482</v>
      </c>
      <c r="V31" s="144">
        <f t="shared" si="36"/>
        <v>9982</v>
      </c>
      <c r="W31" s="144">
        <f t="shared" si="36"/>
        <v>3159</v>
      </c>
      <c r="X31" s="144">
        <f t="shared" si="36"/>
        <v>7765</v>
      </c>
      <c r="Y31" s="144">
        <f t="shared" si="36"/>
        <v>195</v>
      </c>
      <c r="Z31" s="144">
        <f t="shared" si="36"/>
        <v>581</v>
      </c>
      <c r="AA31" s="144">
        <f t="shared" si="36"/>
        <v>558</v>
      </c>
      <c r="AB31" s="144">
        <f t="shared" si="36"/>
        <v>211</v>
      </c>
      <c r="AC31" s="144">
        <f t="shared" si="36"/>
        <v>0</v>
      </c>
      <c r="AD31" s="144">
        <f t="shared" si="36"/>
        <v>168</v>
      </c>
      <c r="AE31" s="144">
        <f t="shared" si="36"/>
        <v>167</v>
      </c>
      <c r="AF31" s="144">
        <f t="shared" si="36"/>
        <v>1</v>
      </c>
      <c r="AG31" s="144">
        <f t="shared" si="36"/>
        <v>205</v>
      </c>
      <c r="AH31" s="144">
        <f t="shared" si="36"/>
        <v>422</v>
      </c>
      <c r="AI31" s="144">
        <f t="shared" si="36"/>
        <v>431</v>
      </c>
      <c r="AJ31" s="144">
        <f t="shared" si="36"/>
        <v>195</v>
      </c>
      <c r="AK31" s="144">
        <f t="shared" si="36"/>
        <v>9</v>
      </c>
      <c r="AL31" s="144">
        <f t="shared" si="36"/>
        <v>218</v>
      </c>
      <c r="AM31" s="144">
        <f t="shared" si="36"/>
        <v>227</v>
      </c>
      <c r="AN31" s="224">
        <f t="shared" si="36"/>
        <v>0</v>
      </c>
      <c r="AO31" s="225">
        <v>10</v>
      </c>
      <c r="AP31" s="225">
        <v>10</v>
      </c>
      <c r="AQ31" s="225">
        <v>10</v>
      </c>
      <c r="AR31" s="225">
        <v>10</v>
      </c>
      <c r="AS31" s="166">
        <f t="shared" si="36"/>
        <v>0</v>
      </c>
      <c r="AT31" s="166">
        <f t="shared" si="36"/>
        <v>0</v>
      </c>
      <c r="AU31" s="225"/>
      <c r="AV31" s="226"/>
      <c r="AW31" s="225"/>
      <c r="AX31" s="226"/>
      <c r="AY31" s="143">
        <f>SUBTOTAL(9,AY9:AY30)</f>
        <v>9787</v>
      </c>
      <c r="AZ31" s="144">
        <f>SUBTOTAL(9,AZ9:AZ30)</f>
        <v>17201</v>
      </c>
      <c r="BA31" s="144">
        <f>SUBTOTAL(9,BA9:BA30)</f>
        <v>16913</v>
      </c>
      <c r="BB31" s="144">
        <f>SUBTOTAL(9,BB9:BB30)</f>
        <v>10177</v>
      </c>
      <c r="BC31" s="145">
        <f>SUBTOTAL(9,BC9:BC30)</f>
        <v>3538</v>
      </c>
      <c r="BD31" s="227">
        <f>IF(ISNUMBER(BA31/AZ31),BA31/AZ31," - ")</f>
        <v>0.98325678739608158</v>
      </c>
      <c r="BE31" s="224">
        <f>IF(ISNUMBER(BB31/BA31),BB31/BA31, " - ")</f>
        <v>0.60172648258735884</v>
      </c>
      <c r="BF31" s="224">
        <f>IF(ISNUMBER(BC31/BA31),BC31/BA31, " - ")</f>
        <v>0.20918819842724531</v>
      </c>
      <c r="BG31" s="145">
        <f>IF(ISNUMBER((AY31+AZ31)/BA31),(AY31+AZ31)/BA31," - ")</f>
        <v>1.5956956187548039</v>
      </c>
      <c r="BH31" s="225">
        <f>SUBTOTAL(9,BH9:BH30)</f>
        <v>20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YHe1Sfmn+T0F0IESXnoLTl7A2ZIhcMSoHC1KiXBJ6uxkEMO6bAxkSD2fwo5U01vbq54l0WQT1s/1Vt3fj/3iA==" saltValue="prbOLij9hv6P03qZIcnC6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yBqeoMmHQbDHEy8rc8vDIz7ze9wuEriisWraBBN5RMpubCvZRHRkSiJqp63uAF/jbo7BejcLoQDy4N7CSIceA==" saltValue="Y7vmqJuBQrSRT5UKdwcbm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EL VENDRELL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72</v>
      </c>
      <c r="G10" s="543">
        <f>IF(ISNUMBER(Datos!I10),Datos!I10," - ")</f>
        <v>72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138</v>
      </c>
      <c r="AC10" s="547">
        <f>IF(ISNUMBER(Datos!Q10),Datos!Q10," - ")</f>
        <v>15</v>
      </c>
      <c r="AD10" s="549"/>
      <c r="AE10" s="563"/>
      <c r="AF10" s="551">
        <f>IF(ISNUMBER(Datos!L10),Datos!L10,"-")</f>
        <v>83</v>
      </c>
      <c r="AG10" s="549"/>
      <c r="AH10" s="549"/>
      <c r="AI10" s="549"/>
      <c r="AJ10" s="549"/>
      <c r="AK10" s="549"/>
      <c r="AL10" s="550"/>
      <c r="AM10" s="766">
        <f>IF(ISNUMBER(Datos!R10),Datos!R10," - ")</f>
        <v>133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43</v>
      </c>
      <c r="BD10" s="693">
        <f>IF(ISNUMBER(Datos!N10),Datos!N10," - ")</f>
        <v>54</v>
      </c>
      <c r="BE10" s="693" t="str">
        <f>IF(ISNUMBER(Datos!BW10),Datos!BW10," - ")</f>
        <v xml:space="preserve"> - </v>
      </c>
      <c r="BF10" s="762" t="str">
        <f>IF(ISNUMBER(Datos!BX10),Datos!BX10," - ")</f>
        <v xml:space="preserve"> - </v>
      </c>
      <c r="BG10" s="763">
        <f>IF(ISNUMBER(Datos!K10/Datos!J10),Datos!K10/Datos!J10," - ")</f>
        <v>0.9261744966442953</v>
      </c>
      <c r="BH10" s="764">
        <f>IF(ISNUMBER(((Datos!L10/Datos!K10)*11)/factor_trimestre),((Datos!L10/Datos!K10)*11)/factor_trimestre," - ")</f>
        <v>6.6159420289855078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3.90625E-2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9</v>
      </c>
      <c r="B12" s="746" t="s">
        <v>321</v>
      </c>
      <c r="C12" s="747" t="str">
        <f>Datos!A12</f>
        <v xml:space="preserve">Jdos. 1ª Instª. e Instr.                        </v>
      </c>
      <c r="D12" s="601"/>
      <c r="E12" s="764">
        <f>IF(ISNUMBER(Datos!AQ12),Datos!AQ12," - ")</f>
        <v>9</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581</v>
      </c>
      <c r="O12" s="549"/>
      <c r="P12" s="549"/>
      <c r="Q12" s="547">
        <f>IF(ISNUMBER(Datos!P12),Datos!P12,0)</f>
        <v>2248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1230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211</v>
      </c>
      <c r="AI12" s="549" t="str">
        <f>IF(ISNUMBER(Datos!CD12),Datos!CD12,"-")</f>
        <v>-</v>
      </c>
      <c r="AJ12" s="549" t="str">
        <f>IF(ISNUMBER(Datos!EN12),Datos!EN12," - ")</f>
        <v xml:space="preserve"> - </v>
      </c>
      <c r="AK12" s="549"/>
      <c r="AL12" s="550"/>
      <c r="AM12" s="766">
        <f>IF(ISNUMBER(Datos!R12),Datos!R12," - ")</f>
        <v>15394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2011</v>
      </c>
      <c r="BD12" s="693">
        <f>IF(ISNUMBER(Datos!N12),Datos!N12," - ")</f>
        <v>3785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0.94733745219182108</v>
      </c>
      <c r="BH12" s="764">
        <f>IF(ISNUMBER(((IF(J_V="SI",Datos!L12/Datos!K12,(Datos!L12+Datos!AB12)/(Datos!K12+Datos!AA12)))*11)/factor_trimestre),((IF(J_V="SI",Datos!L12/Datos!K12,(Datos!L12+Datos!AB12)/(Datos!K12+Datos!AA12)))*11)/factor_trimestre," - ")</f>
        <v>7.9414078674948234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7.08124652198108E-2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10</v>
      </c>
      <c r="F14" s="1197">
        <f t="shared" si="1"/>
        <v>72</v>
      </c>
      <c r="G14" s="1197">
        <f t="shared" si="1"/>
        <v>72</v>
      </c>
      <c r="H14" s="1198">
        <f t="shared" si="1"/>
        <v>0</v>
      </c>
      <c r="I14" s="1197">
        <f t="shared" si="1"/>
        <v>0</v>
      </c>
      <c r="J14" s="1164">
        <f t="shared" si="1"/>
        <v>0</v>
      </c>
      <c r="K14" s="1164">
        <f t="shared" si="1"/>
        <v>0</v>
      </c>
      <c r="L14" s="1198">
        <f t="shared" si="1"/>
        <v>0</v>
      </c>
      <c r="M14" s="1198">
        <f t="shared" si="1"/>
        <v>0</v>
      </c>
      <c r="N14" s="1198">
        <f t="shared" si="1"/>
        <v>581</v>
      </c>
      <c r="O14" s="1199">
        <f t="shared" si="1"/>
        <v>0</v>
      </c>
      <c r="P14" s="1199">
        <f t="shared" si="1"/>
        <v>0</v>
      </c>
      <c r="Q14" s="1198">
        <f t="shared" si="1"/>
        <v>2268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138</v>
      </c>
      <c r="AC14" s="1198">
        <f t="shared" si="2"/>
        <v>1245</v>
      </c>
      <c r="AD14" s="1198">
        <f t="shared" si="2"/>
        <v>0</v>
      </c>
      <c r="AE14" s="1198">
        <f t="shared" si="2"/>
        <v>0</v>
      </c>
      <c r="AF14" s="1198">
        <f t="shared" si="2"/>
        <v>83</v>
      </c>
      <c r="AG14" s="1198">
        <f t="shared" si="2"/>
        <v>0</v>
      </c>
      <c r="AH14" s="1198">
        <f t="shared" si="2"/>
        <v>211</v>
      </c>
      <c r="AI14" s="1198">
        <f t="shared" si="2"/>
        <v>0</v>
      </c>
      <c r="AJ14" s="1198">
        <f t="shared" si="2"/>
        <v>0</v>
      </c>
      <c r="AK14" s="1198">
        <f t="shared" si="2"/>
        <v>0</v>
      </c>
      <c r="AL14" s="1198">
        <f t="shared" si="2"/>
        <v>0</v>
      </c>
      <c r="AM14" s="1198">
        <f t="shared" si="2"/>
        <v>15527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2054</v>
      </c>
      <c r="BD14" s="1198">
        <f t="shared" si="2"/>
        <v>3839</v>
      </c>
      <c r="BE14" s="1198">
        <f t="shared" si="2"/>
        <v>0</v>
      </c>
      <c r="BF14" s="1198">
        <f t="shared" si="2"/>
        <v>0</v>
      </c>
      <c r="BG14" s="1198">
        <f>IF(ISNUMBER(Datos!K14/Datos!J14),Datos!K14/Datos!J14," - ")</f>
        <v>0.94623655913978499</v>
      </c>
      <c r="BH14" s="1202">
        <f>IF(ISNUMBER(((Datos!L14/Datos!K14)*11)/factor_trimestre),((Datos!L14/Datos!K14)*11)/factor_trimestre," - ")</f>
        <v>8.15</v>
      </c>
      <c r="BI14" s="1198">
        <f>IF(ISNUMBER('Resol  Asuntos'!D14/NºAsuntos!G14),'Resol  Asuntos'!D14/NºAsuntos!G14," - ")</f>
        <v>0.20963461931006327</v>
      </c>
      <c r="BJ14" s="1198" t="str">
        <f>IF(ISNUMBER(Datos!CI14/Datos!CJ14),Datos!CI14/Datos!CJ14," - ")</f>
        <v xml:space="preserve"> - </v>
      </c>
      <c r="BK14" s="1198">
        <f>SUBTOTAL(9,BK8:BK13)</f>
        <v>0</v>
      </c>
      <c r="BL14" s="1198">
        <f>IF(ISNUMBER((I14-AB14+L14)/(F14)),(I14-AB14+L14)/(F14)," - ")</f>
        <v>-1.9166666666666667</v>
      </c>
      <c r="BM14" s="1203">
        <f>SUBTOTAL(9,BM9:BM13)</f>
        <v>0.1098749652198108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9</v>
      </c>
      <c r="B17" s="737" t="s">
        <v>511</v>
      </c>
      <c r="C17" s="749" t="str">
        <f>Datos!A17</f>
        <v xml:space="preserve">Jdos. 1ª Instª. e Instr.                        </v>
      </c>
      <c r="D17" s="750"/>
      <c r="E17" s="1555">
        <f>IF(ISNUMBER(Datos!AQ17),Datos!AQ17," - ")</f>
        <v>9</v>
      </c>
      <c r="F17" s="740">
        <f>IF(ISNUMBER(AF17+AB17-Datos!J17-L17),AF17+AB17-Datos!J17-L17," - ")</f>
        <v>3712</v>
      </c>
      <c r="G17" s="743">
        <f>IF(ISNUMBER(IF(D_I="SI",Datos!I17,Datos!I17+Datos!AC17)),IF(D_I="SI",Datos!I17,Datos!I17+Datos!AC17)," - ")</f>
        <v>3636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9091</v>
      </c>
      <c r="AC17" s="240">
        <f>IF(ISNUMBER(Datos!Q17),Datos!Q17," - ")</f>
        <v>236</v>
      </c>
      <c r="AD17" s="374"/>
      <c r="AE17" s="562"/>
      <c r="AF17" s="741">
        <f>IF(ISNUMBER(IF(D_I="SI",Datos!L17,Datos!L17+Datos!AF17)),IF(D_I="SI",Datos!L17,Datos!L17+Datos!AF17)," - ")</f>
        <v>3987</v>
      </c>
      <c r="AG17" s="374"/>
      <c r="AH17" s="374"/>
      <c r="AI17" s="374"/>
      <c r="AJ17" s="549"/>
      <c r="AK17" s="374"/>
      <c r="AL17" s="545"/>
      <c r="AM17" s="375">
        <f>IF(ISNUMBER(Datos!R17),Datos!R17," - ")</f>
        <v>407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1139</v>
      </c>
      <c r="BD17" s="243">
        <f>IF(ISNUMBER(Datos!N17),Datos!N17," - ")</f>
        <v>4971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0.97063847960708949</v>
      </c>
      <c r="BH17" s="764">
        <f>IF(ISNUMBER(((IF(D_I="SI",Datos!L17/Datos!K17,(Datos!L17+Datos!AF17)/(Datos!K17+Datos!AE17)))*11)/factor_trimestre),((IF(D_I="SI",Datos!L17/Datos!K17,(Datos!L17+Datos!AF17)/(Datos!K17+Datos!AE17)))*11)/factor_trimestre," - ")</f>
        <v>4.8242217577824222</v>
      </c>
      <c r="BI17" s="266">
        <f>IF(ISNUMBER('Resol  Asuntos'!D17/NºAsuntos!G17),'Resol  Asuntos'!D17/NºAsuntos!G17," - ")</f>
        <v>0.12528874711252888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109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927</v>
      </c>
      <c r="AC18" s="547">
        <f>IF(ISNUMBER(Datos!Q18),Datos!Q18," - ")</f>
        <v>1</v>
      </c>
      <c r="AD18" s="549"/>
      <c r="AE18" s="562"/>
      <c r="AF18" s="551">
        <f>IF(ISNUMBER(Datos!L18),Datos!L18,"-")</f>
        <v>83</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48</v>
      </c>
      <c r="BD18" s="693">
        <f>IF(ISNUMBER(Datos!N18),Datos!N18," - ")</f>
        <v>477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1.0630733944954129</v>
      </c>
      <c r="BH18" s="764">
        <f>IF(ISNUMBER(((IF(D_I="SI",Datos!L18/Datos!K18,(Datos!L18+Datos!AF18)/(Datos!K18+Datos!AE18)))*11)/factor_trimestre),((IF(D_I="SI",Datos!L18/Datos!K18,(Datos!L18+Datos!AF18)/(Datos!K18+Datos!AE18)))*11)/factor_trimestre," - ")</f>
        <v>0.9848975188781014</v>
      </c>
      <c r="BI18" s="763">
        <f>IF(ISNUMBER('Resol  Asuntos'!D18/NºAsuntos!G18),'Resol  Asuntos'!D18/NºAsuntos!G18," - ")</f>
        <v>5.1779935275080909E-2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10</v>
      </c>
      <c r="F23" s="1197">
        <f>SUBTOTAL(9,F16:F22)</f>
        <v>3712</v>
      </c>
      <c r="G23" s="1197">
        <f>SUBTOTAL(9,G16:G22)</f>
        <v>3745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10018</v>
      </c>
      <c r="AC23" s="1198">
        <f t="shared" si="5"/>
        <v>237</v>
      </c>
      <c r="AD23" s="1198">
        <f t="shared" si="5"/>
        <v>0</v>
      </c>
      <c r="AE23" s="1198">
        <f t="shared" si="5"/>
        <v>0</v>
      </c>
      <c r="AF23" s="1198">
        <f t="shared" si="5"/>
        <v>4070</v>
      </c>
      <c r="AG23" s="1198">
        <f t="shared" si="5"/>
        <v>0</v>
      </c>
      <c r="AH23" s="1198">
        <f t="shared" si="5"/>
        <v>0</v>
      </c>
      <c r="AI23" s="1198">
        <f t="shared" si="5"/>
        <v>0</v>
      </c>
      <c r="AJ23" s="1198">
        <f t="shared" si="5"/>
        <v>0</v>
      </c>
      <c r="AK23" s="1198">
        <f t="shared" si="5"/>
        <v>0</v>
      </c>
      <c r="AL23" s="1198">
        <f t="shared" si="5"/>
        <v>0</v>
      </c>
      <c r="AM23" s="1198">
        <f t="shared" si="5"/>
        <v>413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1187</v>
      </c>
      <c r="BD23" s="1198">
        <f t="shared" si="5"/>
        <v>5448</v>
      </c>
      <c r="BE23" s="1198">
        <f t="shared" si="5"/>
        <v>0</v>
      </c>
      <c r="BF23" s="1198">
        <f t="shared" si="5"/>
        <v>0</v>
      </c>
      <c r="BG23" s="1198">
        <f>IF(ISNUMBER(Datos!K23/Datos!J23),Datos!K23/Datos!J23," - ")</f>
        <v>0.97851142801328383</v>
      </c>
      <c r="BH23" s="1202">
        <f>IF(ISNUMBER(((Datos!L23/Datos!K23)*11)/factor_trimestre),((Datos!L23/Datos!K23)*11)/factor_trimestre," - ")</f>
        <v>4.4689558794170487</v>
      </c>
      <c r="BI23" s="1198">
        <f>SUBTOTAL(9,BI16:BI22)</f>
        <v>0.17706868238760978</v>
      </c>
      <c r="BJ23" s="1198">
        <f>SUBTOTAL(9,BJ16:BJ22)</f>
        <v>0</v>
      </c>
      <c r="BK23" s="1198">
        <f>SUBTOTAL(9,BK16:BK22)</f>
        <v>0</v>
      </c>
      <c r="BL23" s="1198">
        <f>IF(ISNUMBER((I23-AB23+L23)/(F23)),(I23-AB23+L23)/(F23)," - ")</f>
        <v>-2.6988146551724137</v>
      </c>
      <c r="BM23" s="1205">
        <f>IF(ISNUMBER((Datos!P23-Datos!Q23)/(Datos!R23-Datos!P23+Datos!Q23)),(Datos!P23-Datos!Q23)/(Datos!R23-Datos!P23+Datos!Q23)," - ")</f>
        <v>-0.14492753623188406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20</v>
      </c>
      <c r="F31" s="1117">
        <f t="shared" si="18"/>
        <v>3784</v>
      </c>
      <c r="G31" s="1117">
        <f t="shared" si="18"/>
        <v>3817</v>
      </c>
      <c r="H31" s="1119">
        <f t="shared" si="18"/>
        <v>0</v>
      </c>
      <c r="I31" s="1117">
        <f t="shared" si="18"/>
        <v>0</v>
      </c>
      <c r="J31" s="1119">
        <f t="shared" si="18"/>
        <v>0</v>
      </c>
      <c r="K31" s="1119">
        <f t="shared" si="18"/>
        <v>0</v>
      </c>
      <c r="L31" s="1180">
        <f t="shared" si="18"/>
        <v>0</v>
      </c>
      <c r="M31" s="1180">
        <f t="shared" si="18"/>
        <v>0</v>
      </c>
      <c r="N31" s="1180">
        <f t="shared" si="18"/>
        <v>581</v>
      </c>
      <c r="O31" s="1180">
        <f t="shared" si="18"/>
        <v>0</v>
      </c>
      <c r="P31" s="1180">
        <f t="shared" si="18"/>
        <v>0</v>
      </c>
      <c r="Q31" s="1119">
        <f t="shared" si="18"/>
        <v>2435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10156</v>
      </c>
      <c r="AC31" s="1118">
        <f t="shared" si="19"/>
        <v>1482</v>
      </c>
      <c r="AD31" s="1118">
        <f t="shared" si="19"/>
        <v>0</v>
      </c>
      <c r="AE31" s="1118">
        <f t="shared" si="19"/>
        <v>0</v>
      </c>
      <c r="AF31" s="1125">
        <f t="shared" si="19"/>
        <v>4153</v>
      </c>
      <c r="AG31" s="1125">
        <f t="shared" si="19"/>
        <v>0</v>
      </c>
      <c r="AH31" s="1125">
        <f t="shared" si="19"/>
        <v>211</v>
      </c>
      <c r="AI31" s="1125">
        <f t="shared" si="19"/>
        <v>0</v>
      </c>
      <c r="AJ31" s="1118">
        <f t="shared" si="19"/>
        <v>0</v>
      </c>
      <c r="AK31" s="1125">
        <f t="shared" si="19"/>
        <v>0</v>
      </c>
      <c r="AL31" s="1125">
        <f t="shared" si="19"/>
        <v>0</v>
      </c>
      <c r="AM31" s="1125">
        <f t="shared" si="19"/>
        <v>15940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3241</v>
      </c>
      <c r="BD31" s="1117">
        <f t="shared" si="19"/>
        <v>9287</v>
      </c>
      <c r="BE31" s="1117">
        <f t="shared" si="19"/>
        <v>0</v>
      </c>
      <c r="BF31" s="1127">
        <f t="shared" si="19"/>
        <v>0</v>
      </c>
      <c r="BG31" s="1223">
        <f>IF(ISNUMBER(Datos!K31/Datos!J31),Datos!K31/Datos!J31," - ")</f>
        <v>0.96275558666200067</v>
      </c>
      <c r="BH31" s="1223">
        <f>IF(ISNUMBER(((Datos!L31/Datos!K31)*11)/factor_trimestre),((Datos!L31/Datos!K31)*11)/factor_trimestre," - ")</f>
        <v>6.2351230657389136</v>
      </c>
      <c r="BI31" s="1103">
        <f>IF(ISNUMBER(Datos!J31/Datos!I31),Datos!J31/Datos!I31," - ")</f>
        <v>2.0039070326587858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-2.6839323467230445</v>
      </c>
      <c r="BM31" s="1188">
        <f>IF(ISNUMBER((Datos!P31-Datos!Q31+R31)/(Datos!R31-Datos!P31+Datos!Q31-R31)),(Datos!P31-Datos!Q31+R31)/(Datos!R31-Datos!P31+Datos!Q31-R31)," - ")</f>
        <v>6.3588443317541876E-2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1090.5714285714287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3.9425701831575308</v>
      </c>
      <c r="F33" s="673">
        <f>IF(ISNUMBER(STDEV(F8:F30)),STDEV(F8:F30),"-")</f>
        <v>1898.5513073569193</v>
      </c>
      <c r="G33" s="674">
        <f>IF(ISNUMBER(STDEV(G8:G30)),STDEV(G8:G30),"-")</f>
        <v>1776.8111752183891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4563.7046615765175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904.07328242792357</v>
      </c>
      <c r="BD33" s="673"/>
      <c r="BE33" s="673">
        <f>IF(ISNUMBER(STDEV(BE8:BE30)),STDEV(BE8:BE30),"-")</f>
        <v>0</v>
      </c>
      <c r="BF33" s="678">
        <f>IF(ISNUMBER(STDEV(BF8:BF30)),STDEV(BF8:BF30),"-")</f>
        <v>0</v>
      </c>
      <c r="BG33" s="1052">
        <f>IF(ISNUMBER(STDEV(BG8:BG30)),STDEV(BG8:BG30),"-")</f>
        <v>4.8395430346628091E-2</v>
      </c>
      <c r="BH33" s="1058">
        <f>IF(ISNUMBER(STDEV(BH8:BH30)),STDEV(BH8:BH30),"-")</f>
        <v>2.6882761096639465</v>
      </c>
      <c r="BI33" s="273">
        <f>IF(ISNUMBER(STDEV(BI8:BI30)),STDEV(BI8:BI30),"-")</f>
        <v>6.8844537996886057E-2</v>
      </c>
      <c r="BJ33" s="244" t="str">
        <f>IF(ISNUMBER(BL33/BM33),BL33/BM33," - ")</f>
        <v xml:space="preserve"> - </v>
      </c>
      <c r="BK33" s="709"/>
      <c r="BL33" s="681">
        <f>IF(ISNUMBER(STDEV(BL8:BL30)),STDEV(BL8:BL30),"-")</f>
        <v>0.55306214656383201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RuT8UkXclnmb6DS38wvtX0wEmCLGLzVW2gcr69LU0ko4ohF8HaY3HmpFKgVcVOqszhbr4vD1go8yKHjns9izRw==" saltValue="4b+ddukjXlzKp4VXFVN5J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EL VENDRELL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72</v>
      </c>
      <c r="G10" s="552">
        <f>IF(ISNUMBER(Datos!I10),Datos!I10," - ")</f>
        <v>72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138</v>
      </c>
      <c r="Z10" s="805">
        <f>IF(ISNUMBER(Datos!Q10),Datos!Q10," - ")</f>
        <v>15</v>
      </c>
      <c r="AA10" s="551">
        <f>IF(ISNUMBER(Datos!L10),Datos!L10,"-")</f>
        <v>83</v>
      </c>
      <c r="AB10" s="549"/>
      <c r="AC10" s="549"/>
      <c r="AD10" s="563"/>
      <c r="AE10" s="563">
        <f>IF(ISNUMBER(Datos!R10),Datos!R10," - ")</f>
        <v>133</v>
      </c>
      <c r="AF10" s="693" t="str">
        <f>IF(ISNUMBER(Datos!BV10),Datos!BV10," - ")</f>
        <v xml:space="preserve"> - </v>
      </c>
      <c r="AG10" s="552" t="str">
        <f>IF(ISNUMBER(Datos!DV10),Datos!DV10," - ")</f>
        <v xml:space="preserve"> - </v>
      </c>
      <c r="AH10" s="553"/>
      <c r="AI10" s="554"/>
      <c r="AJ10" s="552">
        <f>IF(ISNUMBER(Datos!M10),Datos!M10," - ")</f>
        <v>43</v>
      </c>
      <c r="AK10" s="693">
        <f>IF(ISNUMBER(Datos!N10),Datos!N10," - ")</f>
        <v>54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6.6159420289855078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3.90625E-2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9</v>
      </c>
      <c r="B12" s="746" t="s">
        <v>321</v>
      </c>
      <c r="C12" s="747" t="str">
        <f>Datos!A12</f>
        <v xml:space="preserve">Jdos. 1ª Instª. e Instr.                        </v>
      </c>
      <c r="D12" s="601"/>
      <c r="E12" s="1558">
        <f>IF(ISNUMBER(Datos!AQ12),Datos!AQ12," - ")</f>
        <v>9</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2248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1230</v>
      </c>
      <c r="AA12" s="551" t="str">
        <f>IF(ISNUMBER(IF(J_V="SI",Datos!L12,Datos!L12+Datos!AB12)-IF(Monitorios="SI",Datos!CD12,0)),
                          IF(J_V="SI",Datos!L12,Datos!L12+Datos!AB12)-IF(Monitorios="SI",Datos!CD12,0),
                          " - ")</f>
        <v xml:space="preserve"> - </v>
      </c>
      <c r="AB12" s="549"/>
      <c r="AC12" s="549"/>
      <c r="AD12" s="563"/>
      <c r="AE12" s="563">
        <f>IF(ISNUMBER(Datos!R12),Datos!R12," - ")</f>
        <v>15394</v>
      </c>
      <c r="AF12" s="693" t="str">
        <f>IF(ISNUMBER(Datos!BV12),Datos!BV12," - ")</f>
        <v xml:space="preserve"> - </v>
      </c>
      <c r="AG12" s="552" t="str">
        <f>IF(ISNUMBER(Datos!DV12),Datos!DV12," - ")</f>
        <v xml:space="preserve"> - </v>
      </c>
      <c r="AH12" s="553"/>
      <c r="AI12" s="554"/>
      <c r="AJ12" s="552">
        <f>IF(ISNUMBER(Datos!M12),Datos!M12," - ")</f>
        <v>2011</v>
      </c>
      <c r="AK12" s="693">
        <f>IF(ISNUMBER(Datos!N12),Datos!N12," - ")</f>
        <v>3785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7.9414078674948234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7.08124652198108E-2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10</v>
      </c>
      <c r="F14" s="1197">
        <f>SUBTOTAL(9,F8:F13)</f>
        <v>72</v>
      </c>
      <c r="G14" s="1197">
        <f>SUBTOTAL(9,G8:G13)</f>
        <v>72</v>
      </c>
      <c r="H14" s="1211"/>
      <c r="I14" s="1197">
        <f t="shared" ref="I14:N14" si="1">SUBTOTAL(9,I8:I13)</f>
        <v>0</v>
      </c>
      <c r="J14" s="1164">
        <f t="shared" si="1"/>
        <v>0</v>
      </c>
      <c r="K14" s="1211">
        <f t="shared" si="1"/>
        <v>0</v>
      </c>
      <c r="L14" s="1211">
        <f t="shared" si="1"/>
        <v>0</v>
      </c>
      <c r="M14" s="1211">
        <f t="shared" si="1"/>
        <v>0</v>
      </c>
      <c r="N14" s="1211">
        <f t="shared" si="1"/>
        <v>2268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138</v>
      </c>
      <c r="Z14" s="1210">
        <f t="shared" si="3"/>
        <v>1245</v>
      </c>
      <c r="AA14" s="1199">
        <f t="shared" si="3"/>
        <v>83</v>
      </c>
      <c r="AB14" s="1199">
        <f t="shared" si="3"/>
        <v>0</v>
      </c>
      <c r="AC14" s="1199">
        <f t="shared" si="3"/>
        <v>0</v>
      </c>
      <c r="AD14" s="1199">
        <f t="shared" si="3"/>
        <v>0</v>
      </c>
      <c r="AE14" s="1199">
        <f t="shared" si="3"/>
        <v>15527</v>
      </c>
      <c r="AF14" s="1211">
        <f t="shared" si="3"/>
        <v>0</v>
      </c>
      <c r="AG14" s="1211">
        <f t="shared" si="3"/>
        <v>0</v>
      </c>
      <c r="AH14" s="1211">
        <f t="shared" si="3"/>
        <v>0</v>
      </c>
      <c r="AI14" s="1211">
        <f t="shared" si="3"/>
        <v>0</v>
      </c>
      <c r="AJ14" s="1211">
        <f t="shared" si="3"/>
        <v>2054</v>
      </c>
      <c r="AK14" s="1211">
        <f t="shared" si="3"/>
        <v>3839</v>
      </c>
      <c r="AL14" s="1211">
        <f t="shared" si="3"/>
        <v>0</v>
      </c>
      <c r="AM14" s="1211">
        <f t="shared" si="3"/>
        <v>0</v>
      </c>
      <c r="AN14" s="1211">
        <f t="shared" si="3"/>
        <v>0</v>
      </c>
      <c r="AO14" s="1203">
        <f>IF(ISNUMBER(((NºAsuntos!I14/NºAsuntos!G14)*11)/factor_trimestre),((NºAsuntos!I14/NºAsuntos!G14)*11)/factor_trimestre," - ")</f>
        <v>7.9227393345580728</v>
      </c>
      <c r="AP14" s="1213" t="str">
        <f>IF(ISNUMBER(Datos!CI14/Datos!CJ14),Datos!CI14/Datos!CJ14," - ")</f>
        <v xml:space="preserve"> - </v>
      </c>
      <c r="AQ14" s="1236">
        <f t="shared" ref="AQ14:AV14" si="4">SUBTOTAL(9,AQ9:AQ13)</f>
        <v>0</v>
      </c>
      <c r="AR14" s="1236">
        <f t="shared" si="4"/>
        <v>0.1098749652198108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9</v>
      </c>
      <c r="B17" s="746" t="s">
        <v>511</v>
      </c>
      <c r="C17" s="765" t="str">
        <f>Datos!A17</f>
        <v xml:space="preserve">Jdos. 1ª Instª. e Instr.                        </v>
      </c>
      <c r="D17" s="593"/>
      <c r="E17" s="1558">
        <f>IF(ISNUMBER(Datos!AQ17),Datos!AQ17," - ")</f>
        <v>9</v>
      </c>
      <c r="F17" s="543">
        <f>IF(ISNUMBER(AA17+Y17-Datos!J17-K16),AA17+Y17-Datos!J17-K16," - ")</f>
        <v>3712</v>
      </c>
      <c r="G17" s="552">
        <f>IF(ISNUMBER(IF(D_I="SI",Datos!I17,Datos!I17+Datos!AC17)),IF(D_I="SI",Datos!I17,Datos!I17+Datos!AC17)," - ")</f>
        <v>3636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9091</v>
      </c>
      <c r="Z17" s="805">
        <f>IF(ISNUMBER(Datos!Q17),Datos!Q17," - ")</f>
        <v>236</v>
      </c>
      <c r="AA17" s="551">
        <f>IF(ISNUMBER(IF(D_I="SI",Datos!L17,Datos!L17+Datos!AF17)),IF(D_I="SI",Datos!L17,Datos!L17+Datos!AF17)," - ")</f>
        <v>3987</v>
      </c>
      <c r="AB17" s="549"/>
      <c r="AC17" s="549"/>
      <c r="AD17" s="563"/>
      <c r="AE17" s="563">
        <f>IF(ISNUMBER(Datos!R17),Datos!R17," - ")</f>
        <v>407</v>
      </c>
      <c r="AF17" s="693" t="str">
        <f>IF(ISNUMBER(Datos!BV17),Datos!BV17," - ")</f>
        <v xml:space="preserve"> - </v>
      </c>
      <c r="AG17" s="552"/>
      <c r="AH17" s="553"/>
      <c r="AI17" s="554"/>
      <c r="AJ17" s="552">
        <f>IF(ISNUMBER(Datos!M17),Datos!M17," - ")</f>
        <v>1139</v>
      </c>
      <c r="AK17" s="693">
        <f>IF(ISNUMBER(Datos!N17),Datos!N17," - ")</f>
        <v>4971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4.8242217577824222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109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927</v>
      </c>
      <c r="Z18" s="805">
        <f>IF(ISNUMBER(Datos!Q18),Datos!Q18," - ")</f>
        <v>1</v>
      </c>
      <c r="AA18" s="551">
        <f>IF(ISNUMBER(Datos!L18),Datos!L18,"-")</f>
        <v>83</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48</v>
      </c>
      <c r="AK18" s="693">
        <f>IF(ISNUMBER(Datos!N18),Datos!N18," - ")</f>
        <v>477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0.9848975188781014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10</v>
      </c>
      <c r="F23" s="1197">
        <f>SUBTOTAL(9,F16:F22)</f>
        <v>3712</v>
      </c>
      <c r="G23" s="1197">
        <f>SUBTOTAL(9,G16:G22)</f>
        <v>3745</v>
      </c>
      <c r="H23" s="1240">
        <f>SUBTOTAL(9,H16:H22)</f>
        <v>0</v>
      </c>
      <c r="I23" s="1217">
        <f>SUBTOTAL(9,I16:I22)</f>
        <v>0</v>
      </c>
      <c r="J23" s="1164">
        <f>SUBTOTAL(9,J15:J22)</f>
        <v>0</v>
      </c>
      <c r="K23" s="1240">
        <f t="shared" ref="K23:S23" si="5">SUBTOTAL(9,K16:K22)</f>
        <v>0</v>
      </c>
      <c r="L23" s="1240">
        <f t="shared" si="5"/>
        <v>0</v>
      </c>
      <c r="M23" s="1240">
        <f t="shared" si="5"/>
        <v>0</v>
      </c>
      <c r="N23" s="1240">
        <f t="shared" si="5"/>
        <v>167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10018</v>
      </c>
      <c r="Z23" s="1240">
        <f t="shared" si="6"/>
        <v>237</v>
      </c>
      <c r="AA23" s="1240">
        <f t="shared" si="6"/>
        <v>4070</v>
      </c>
      <c r="AB23" s="1240">
        <f t="shared" si="6"/>
        <v>0</v>
      </c>
      <c r="AC23" s="1240">
        <f t="shared" si="6"/>
        <v>0</v>
      </c>
      <c r="AD23" s="1240">
        <f t="shared" si="6"/>
        <v>0</v>
      </c>
      <c r="AE23" s="1240">
        <f t="shared" si="6"/>
        <v>413</v>
      </c>
      <c r="AF23" s="1240">
        <f t="shared" si="6"/>
        <v>0</v>
      </c>
      <c r="AG23" s="1240">
        <f t="shared" si="6"/>
        <v>0</v>
      </c>
      <c r="AH23" s="1240">
        <f t="shared" si="6"/>
        <v>0</v>
      </c>
      <c r="AI23" s="1240">
        <f t="shared" si="6"/>
        <v>0</v>
      </c>
      <c r="AJ23" s="1240">
        <f t="shared" si="6"/>
        <v>1187</v>
      </c>
      <c r="AK23" s="1240">
        <f t="shared" si="6"/>
        <v>5448</v>
      </c>
      <c r="AL23" s="1240">
        <f t="shared" si="6"/>
        <v>0</v>
      </c>
      <c r="AM23" s="1240">
        <f t="shared" si="6"/>
        <v>0</v>
      </c>
      <c r="AN23" s="1240">
        <f t="shared" si="6"/>
        <v>0</v>
      </c>
      <c r="AO23" s="1242">
        <f>IF(ISNUMBER(((NºAsuntos!I23/NºAsuntos!G23)*11)/factor_trimestre),((NºAsuntos!I23/NºAsuntos!G23)*11)/factor_trimestre," - ")</f>
        <v>4.4689558794170487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20</v>
      </c>
      <c r="F31" s="1117">
        <f t="shared" si="12"/>
        <v>3784</v>
      </c>
      <c r="G31" s="1117">
        <f t="shared" si="12"/>
        <v>3817</v>
      </c>
      <c r="H31" s="1118">
        <f t="shared" si="12"/>
        <v>0</v>
      </c>
      <c r="I31" s="1117">
        <f t="shared" si="12"/>
        <v>0</v>
      </c>
      <c r="J31" s="1119">
        <f t="shared" si="12"/>
        <v>0</v>
      </c>
      <c r="K31" s="1117">
        <f t="shared" si="12"/>
        <v>0</v>
      </c>
      <c r="L31" s="1120">
        <f t="shared" si="12"/>
        <v>0</v>
      </c>
      <c r="M31" s="1117">
        <f t="shared" si="12"/>
        <v>0</v>
      </c>
      <c r="N31" s="1118">
        <f t="shared" si="12"/>
        <v>2435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10156</v>
      </c>
      <c r="Z31" s="1124">
        <f t="shared" si="13"/>
        <v>1482</v>
      </c>
      <c r="AA31" s="1125">
        <f t="shared" si="13"/>
        <v>4153</v>
      </c>
      <c r="AB31" s="1125">
        <f t="shared" si="13"/>
        <v>0</v>
      </c>
      <c r="AC31" s="1125">
        <f t="shared" si="13"/>
        <v>0</v>
      </c>
      <c r="AD31" s="1126">
        <f t="shared" si="13"/>
        <v>0</v>
      </c>
      <c r="AE31" s="1126">
        <f t="shared" si="13"/>
        <v>15940</v>
      </c>
      <c r="AF31" s="1127">
        <f t="shared" si="13"/>
        <v>0</v>
      </c>
      <c r="AG31" s="1128">
        <f t="shared" si="13"/>
        <v>0</v>
      </c>
      <c r="AH31" s="1129">
        <f t="shared" si="13"/>
        <v>0</v>
      </c>
      <c r="AI31" s="1127">
        <f t="shared" si="13"/>
        <v>0</v>
      </c>
      <c r="AJ31" s="1117">
        <f t="shared" si="13"/>
        <v>3241</v>
      </c>
      <c r="AK31" s="1117">
        <f t="shared" si="13"/>
        <v>9287</v>
      </c>
      <c r="AL31" s="1117">
        <f t="shared" si="13"/>
        <v>0</v>
      </c>
      <c r="AM31" s="1130">
        <f t="shared" si="13"/>
        <v>0</v>
      </c>
      <c r="AN31" s="1120">
        <f>IF(ISNUMBER(Datos!K31/Datos!J31),Datos!K31/Datos!J31," - ")</f>
        <v>0.96275558666200067</v>
      </c>
      <c r="AO31" s="1120">
        <f>IF(ISNUMBER(FIND("06",Criterios!A8,1)),(IF(ISNUMBER(((Datos!R31/Datos!Q31)*11)/factor_trimestre),((Datos!R31/Datos!Q31)*11)/factor_trimestre," - ")),(IF(ISNUMBER(((Datos!L31/Datos!K31)*11)/factor_trimestre),((Datos!L31/Datos!K31)*11)/factor_trimestre," - ")))</f>
        <v>6.2351230657389136</v>
      </c>
      <c r="AP31" s="1131" t="str">
        <f>IF(ISNUMBER(Datos!CI31/Datos!CJ31),Datos!CI31/Datos!CJ31," - ")</f>
        <v xml:space="preserve"> - </v>
      </c>
      <c r="AQ31" s="1131">
        <f>IF(OR(ISNUMBER(FIND("01",Criterios!A8,1)),ISNUMBER(FIND("02",Criterios!A8,1)),ISNUMBER(FIND("03",Criterios!A8,1)),ISNUMBER(FIND("04",Criterios!A8,1))),(J31-Y31+K31)/(F31-K31),(I31-Y31+K31)/(F31-K31))</f>
        <v>-2.6839323467230445</v>
      </c>
      <c r="AR31" s="1131">
        <f>IF(ISNUMBER((Datos!P31-Datos!Q31+O31)/(Datos!R31-Datos!P31+Datos!Q31-O31)),(Datos!P31-Datos!Q31+O31)/(Datos!R31-Datos!P31+Datos!Q31-O31)," - ")</f>
        <v>6.3588443317541876E-2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1090.5714285714287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1898.5513073569193</v>
      </c>
      <c r="G33" s="674">
        <f>IF(ISNUMBER(STDEV(G8:G30)),STDEV(G8:G30),"-")</f>
        <v>1776.8111752183891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904.07328242792357</v>
      </c>
      <c r="AK33" s="276"/>
      <c r="AL33" s="276">
        <f>IF(ISNUMBER(STDEV(AL8:AL30)),STDEV(AL8:AL30),"-")</f>
        <v>0</v>
      </c>
      <c r="AM33" s="278">
        <f>IF(ISNUMBER(STDEV(AM8:AM30)),STDEV(AM8:AM30),"-")</f>
        <v>0</v>
      </c>
      <c r="AN33" s="660">
        <f>IF(ISNUMBER(STDEV(AN8:AN30)),STDEV(AN8:AN30),"-")</f>
        <v>0</v>
      </c>
      <c r="AO33" s="661">
        <f>IF(ISNUMBER(STDEV(AO8:AO30)),STDEV(AO8:AO30),"-")</f>
        <v>2.6446775261420221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Ct8kz8zsu+jno0/SxgLK5w7Pll0eEMp4GStrxcwz09JEDRah+9UUfdxJfPHdztwWKkwhs/SK7MMTvM6L5lzXJg==" saltValue="yqBYjZFxqb7h8DqEnMLpe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wAe7g2W98urCcyscDTqzfL7FCNm54uEArZdHu1jw552gxMkdcCFzcRrWy127VaGO/51MOGhWlN2WFJk7p4b5w==" saltValue="vcEFQDDIKvz50fXLrgIi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MGh9LjSniKwhk/3nAExLDmX4q0BJWWbVzcIrJ497L9GivIPhLUnmWpGiuwoJrsuTO5u2NdpU9+qCdWPuJH6Fw==" saltValue="2YWa1qjKSZe6+/h9Qwzvf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EL VENDRELL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0.20963461931006327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0.14823406088560609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7IJG99RkWtdO66FUZaUji85hhDevyb8UyNZlc2C3dR9sxuTnBCPop6HcVcgzOppyL9G2N4Wx6oTgd9nyGHxnAQ==" saltValue="ENzBN0EXFGZzXg62urEl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Dv8hAEl11iMqHVdjzSCNre1oCNUseEQ7drCf4pPb//a6kg8j8eHYCsW9VhvVRugsONY7UhunxvRPcnLR38CV7g==" saltValue="qQyhX4jBv2Kcz4Iv9sMx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EL VENDRELL</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72</v>
      </c>
      <c r="D10" s="452">
        <f>IF(ISNUMBER(C10/Datos!BH10),C10/Datos!BH10," - ")</f>
        <v>72</v>
      </c>
      <c r="E10" s="451">
        <f>IF(ISNUMBER(Datos!J10),Datos!J10," - ")</f>
        <v>149</v>
      </c>
      <c r="F10" s="452">
        <f>IF(ISNUMBER(E10/B10),E10/B10," - ")</f>
        <v>149</v>
      </c>
      <c r="G10" s="451">
        <f>IF(ISNUMBER(Datos!K10),Datos!K10," - ")</f>
        <v>138</v>
      </c>
      <c r="H10" s="452">
        <f>IF(ISNUMBER(G10/B10),G10/B10," - ")</f>
        <v>138</v>
      </c>
      <c r="I10" s="451">
        <f>IF(ISNUMBER(Datos!L10),Datos!L10," - ")</f>
        <v>83</v>
      </c>
      <c r="J10" s="452">
        <f>IF(ISNUMBER(I10/B10),I10/B10," - ")</f>
        <v>83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9</v>
      </c>
      <c r="C12" s="451">
        <f>IF(ISNUMBER(IF(J_V="SI",Datos!I12,Datos!I12+Datos!Y12)),IF(J_V="SI",Datos!I12,Datos!I12+Datos!Y12)," - ")</f>
        <v>6360</v>
      </c>
      <c r="D12" s="452">
        <f>IF(ISNUMBER(C12/Datos!BH12),C12/Datos!BH12," - ")</f>
        <v>706.66666666666663</v>
      </c>
      <c r="E12" s="451">
        <f>IF(ISNUMBER(IF(J_V="SI",Datos!J12,Datos!J12+Datos!Z12)),IF(J_V="SI",Datos!J12,Datos!J12+Datos!Z12)," - ")</f>
        <v>10197</v>
      </c>
      <c r="F12" s="452">
        <f>IF(ISNUMBER(E12/B12),E12/B12," - ")</f>
        <v>1133</v>
      </c>
      <c r="G12" s="451">
        <f>IF(ISNUMBER(IF(J_V="SI",Datos!K12,Datos!K12+Datos!AA12)),IF(J_V="SI",Datos!K12,Datos!K12+Datos!AA12)," - ")</f>
        <v>9660</v>
      </c>
      <c r="H12" s="452">
        <f>IF(ISNUMBER(G12/B12),G12/B12," - ")</f>
        <v>1073.3333333333333</v>
      </c>
      <c r="I12" s="451">
        <f>IF(ISNUMBER(IF(J_V="SI",Datos!L12,Datos!L12+Datos!AB12)),IF(J_V="SI",Datos!L12,Datos!L12+Datos!AB12)," - ")</f>
        <v>6974</v>
      </c>
      <c r="J12" s="452">
        <f>IF(ISNUMBER(I12/B12),I12/B12," - ")</f>
        <v>774.88888888888891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6432</v>
      </c>
      <c r="D14" s="1147" t="str">
        <f>IF(ISNUMBER(C14/Datos!BI14),C14/Datos!BI14," - ")</f>
        <v xml:space="preserve"> - </v>
      </c>
      <c r="E14" s="1146">
        <f>SUBTOTAL(9,E8:E13)</f>
        <v>10346</v>
      </c>
      <c r="F14" s="1147">
        <f>IF(ISNUMBER(E14/B14),E14/B14," - ")</f>
        <v>1034.5999999999999</v>
      </c>
      <c r="G14" s="1146">
        <f>SUBTOTAL(9,G8:G13)</f>
        <v>9798</v>
      </c>
      <c r="H14" s="1147">
        <f>IF(ISNUMBER(G14/B14),G14/B14," - ")</f>
        <v>979.8</v>
      </c>
      <c r="I14" s="1146">
        <f>SUBTOTAL(9,I8:I13)</f>
        <v>7057</v>
      </c>
      <c r="J14" s="1147">
        <f>IF(ISNUMBER(I14/B14),I14/B14," - ")</f>
        <v>705.7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9</v>
      </c>
      <c r="C17" s="451">
        <f>IF(ISNUMBER(IF(D_I="SI",Datos!I17,Datos!I17+Datos!AC17)),IF(D_I="SI",Datos!I17,Datos!I17+Datos!AC17)," - ")</f>
        <v>3636</v>
      </c>
      <c r="D17" s="452">
        <f>IF(ISNUMBER(C17/Datos!BH17),C17/Datos!BH17," - ")</f>
        <v>404</v>
      </c>
      <c r="E17" s="451">
        <f>IF(ISNUMBER(IF(D_I="SI",Datos!J17,Datos!J17+Datos!AD17)),IF(D_I="SI",Datos!J17,Datos!J17+Datos!AD17)," - ")</f>
        <v>9366</v>
      </c>
      <c r="F17" s="452">
        <f>IF(ISNUMBER(E17/B17),E17/B17," - ")</f>
        <v>1040.6666666666667</v>
      </c>
      <c r="G17" s="451">
        <f>IF(ISNUMBER(IF(D_I="SI",Datos!K17,Datos!K17+Datos!AE17)),IF(D_I="SI",Datos!K17,Datos!K17+Datos!AE17)," - ")</f>
        <v>9091</v>
      </c>
      <c r="H17" s="452">
        <f>IF(ISNUMBER(G17/B17),G17/B17," - ")</f>
        <v>1010.1111111111111</v>
      </c>
      <c r="I17" s="451">
        <f>IF(ISNUMBER(IF(D_I="SI",Datos!L17,Datos!L17+Datos!AF17)),IF(D_I="SI",Datos!L17,Datos!L17+Datos!AF17)," - ")</f>
        <v>3987</v>
      </c>
      <c r="J17" s="452">
        <f>IF(ISNUMBER(I17/B17),I17/B17," - ")</f>
        <v>443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109</v>
      </c>
      <c r="D18" s="452">
        <f>IF(ISNUMBER(C18/Datos!BH18),C18/Datos!BH18," - ")</f>
        <v>109</v>
      </c>
      <c r="E18" s="451">
        <f>IF(ISNUMBER(IF(D_I="SI",Datos!J18,Datos!J18+Datos!AD18)),IF(D_I="SI",Datos!J18,Datos!J18+Datos!AD18)," - ")</f>
        <v>872</v>
      </c>
      <c r="F18" s="452">
        <f>IF(ISNUMBER(E18/B18),E18/B18," - ")</f>
        <v>872</v>
      </c>
      <c r="G18" s="451">
        <f>IF(ISNUMBER(IF(D_I="SI",Datos!K18,Datos!K18+Datos!AE18)),IF(D_I="SI",Datos!K18,Datos!K18+Datos!AE18)," - ")</f>
        <v>927</v>
      </c>
      <c r="H18" s="452">
        <f>IF(ISNUMBER(G18/B18),G18/B18," - ")</f>
        <v>927</v>
      </c>
      <c r="I18" s="451">
        <f>IF(ISNUMBER(IF(D_I="SI",Datos!L18,Datos!L18+Datos!AF18)),IF(D_I="SI",Datos!L18,Datos!L18+Datos!AF18)," - ")</f>
        <v>83</v>
      </c>
      <c r="J18" s="452">
        <f>IF(ISNUMBER(I18/B18),I18/B18," - ")</f>
        <v>83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3745</v>
      </c>
      <c r="D23" s="1147" t="str">
        <f>IF(ISNUMBER(C23/Datos!BI23),C23/Datos!BI23," - ")</f>
        <v xml:space="preserve"> - </v>
      </c>
      <c r="E23" s="1146">
        <f>SUBTOTAL(9,E15:E22)</f>
        <v>10238</v>
      </c>
      <c r="F23" s="1147">
        <f>IF(ISNUMBER(E23/B23),E23/B23," - ")</f>
        <v>1023.8</v>
      </c>
      <c r="G23" s="1146">
        <f>SUBTOTAL(9,G15:G22)</f>
        <v>10018</v>
      </c>
      <c r="H23" s="1147">
        <f>IF(ISNUMBER(G23/B23),G23/B23," - ")</f>
        <v>1001.8</v>
      </c>
      <c r="I23" s="1146">
        <f>SUBTOTAL(9,I15:I22)</f>
        <v>4070</v>
      </c>
      <c r="J23" s="1147">
        <f>IF(ISNUMBER(I23/B23),I23/B23," - ")</f>
        <v>407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10177</v>
      </c>
      <c r="D31" s="1085" t="str">
        <f>IF(ISNUMBER(C31/Datos!BI31),C31/Datos!BI31," - ")</f>
        <v xml:space="preserve"> - </v>
      </c>
      <c r="E31" s="1084">
        <f>SUBTOTAL(9,E9:E30)</f>
        <v>20584</v>
      </c>
      <c r="F31" s="1085">
        <f>IF(ISNUMBER(E31/B31),E31/B31," - ")</f>
        <v>2058.4</v>
      </c>
      <c r="G31" s="1084">
        <f>SUBTOTAL(9,G9:G30)</f>
        <v>19816</v>
      </c>
      <c r="H31" s="1085">
        <f>IF(ISNUMBER(G31/B31),G31/B31," - ")</f>
        <v>1981.6</v>
      </c>
      <c r="I31" s="1084">
        <f>SUBTOTAL(9,I9:I30)</f>
        <v>11127</v>
      </c>
      <c r="J31" s="1085">
        <f>IF(ISNUMBER(I31/B31),I31/B31," - ")</f>
        <v>1112.7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UTDfgkp6q+U8BPc4U40VmtX2/ck+gD7gJpg6tXhm3O9xuCnODu10rTnvB2YNuBZby1ath8owLuy+YtSokm7MHw==" saltValue="AjM+o/lj3+GWawu1AVRCe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EL VENDRELL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72</v>
      </c>
      <c r="G10" s="906">
        <f>IF(ISNUMBER(Datos!I10),Datos!I10," - ")</f>
        <v>72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138</v>
      </c>
      <c r="AC10" s="905" t="str">
        <f>IF(ISNUMBER(IF(D_I="SI",DatosP!K18,DatosP!K18+DatosP!AE18)),IF(D_I="SI",DatosP!K18,DatosP!K18+DatosP!AE18)," - ")</f>
        <v xml:space="preserve"> - </v>
      </c>
      <c r="AD10" s="907"/>
      <c r="AE10" s="907"/>
      <c r="AF10" s="910">
        <f>IF(ISNUMBER(Datos!L10),Datos!L10,"-")</f>
        <v>83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43</v>
      </c>
      <c r="AM10" s="914">
        <f>IF(ISNUMBER(Datos!N10+DatosP!N18),Datos!N10+DatosP!N18," - ")</f>
        <v>54</v>
      </c>
      <c r="AN10" s="914">
        <f>IF(ISNUMBER(Datos!BW10+DatosP!BW18),Datos!BW10+DatosP!BW18," - ")</f>
        <v>0</v>
      </c>
      <c r="AO10" s="915">
        <f>IF(ISNUMBER(Datos!BX10+DatosP!BX18),Datos!BX10+DatosP!BX18," - ")</f>
        <v>0</v>
      </c>
      <c r="AP10" s="917">
        <f>IF(ISNUMBER(((Datos!L10/Datos!K10)*11)/factor_trimestre),((Datos!L10/Datos!K10)*11)/factor_trimestre," - ")</f>
        <v>6.6159420289855078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9</v>
      </c>
      <c r="B12" s="746" t="s">
        <v>321</v>
      </c>
      <c r="C12" s="747" t="str">
        <f>Datos!A12</f>
        <v xml:space="preserve">Jdos. 1ª Instª. e Instr.                        </v>
      </c>
      <c r="D12" s="601"/>
      <c r="E12" s="904">
        <f>IF(ISNUMBER(Datos!AQ12),Datos!AQ12," - ")</f>
        <v>9</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2248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1230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15394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2011</v>
      </c>
      <c r="AM12" s="914">
        <f>IF(ISNUMBER(Datos!N12+DatosP!N17),Datos!N12+DatosP!N17," - ")</f>
        <v>3785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7.9414078674948234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7.08124652198108E-2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72</v>
      </c>
      <c r="G14" s="1256">
        <f t="shared" si="0"/>
        <v>72</v>
      </c>
      <c r="H14" s="1256">
        <f t="shared" si="0"/>
        <v>0</v>
      </c>
      <c r="I14" s="1258">
        <f t="shared" si="0"/>
        <v>0</v>
      </c>
      <c r="J14" s="1257">
        <f t="shared" si="0"/>
        <v>0</v>
      </c>
      <c r="K14" s="1257">
        <f t="shared" si="0"/>
        <v>0</v>
      </c>
      <c r="L14" s="1259">
        <f t="shared" si="0"/>
        <v>0</v>
      </c>
      <c r="M14" s="1259">
        <f t="shared" si="0"/>
        <v>0</v>
      </c>
      <c r="N14" s="1257">
        <f t="shared" si="0"/>
        <v>2268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138</v>
      </c>
      <c r="AC14" s="1257">
        <f t="shared" si="1"/>
        <v>0</v>
      </c>
      <c r="AD14" s="1257">
        <f t="shared" si="1"/>
        <v>1230</v>
      </c>
      <c r="AE14" s="1257">
        <f t="shared" si="1"/>
        <v>0</v>
      </c>
      <c r="AF14" s="1257">
        <f t="shared" si="1"/>
        <v>83</v>
      </c>
      <c r="AG14" s="1257">
        <f t="shared" si="1"/>
        <v>0</v>
      </c>
      <c r="AH14" s="1257">
        <f t="shared" si="1"/>
        <v>15394</v>
      </c>
      <c r="AI14" s="1257">
        <f t="shared" si="1"/>
        <v>0</v>
      </c>
      <c r="AJ14" s="1257">
        <f t="shared" si="1"/>
        <v>0</v>
      </c>
      <c r="AK14" s="1257">
        <f t="shared" si="1"/>
        <v>0</v>
      </c>
      <c r="AL14" s="1257">
        <f t="shared" si="1"/>
        <v>2054</v>
      </c>
      <c r="AM14" s="1257">
        <f t="shared" si="1"/>
        <v>3839</v>
      </c>
      <c r="AN14" s="1257">
        <f t="shared" si="1"/>
        <v>0</v>
      </c>
      <c r="AO14" s="1257">
        <f t="shared" si="1"/>
        <v>0</v>
      </c>
      <c r="AP14" s="1262">
        <f>IF(ISNUMBER(((Datos!L14/Datos!K14)*11)/factor_trimestre),((Datos!L14/Datos!K14)*11)/factor_trimestre," - ")</f>
        <v>8.15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-1.9166666666666667</v>
      </c>
      <c r="AU14" s="1257" t="str">
        <f>IF(ISNUMBER((DatosP!#REF!-DatosP!#REF!+DatosP!#REF!)/(DatosP!#REF!+DatosP!#REF!-DatosP!#REF!-DatosP!#REF!)),(DatosP!#REF!-DatosP!#REF!+DatosP!#REF!)/(DatosP!#REF!+DatosP!#REF!-DatosP!#REF!-DatosP!#REF!)," - ")</f>
        <v xml:space="preserve"> - </v>
      </c>
      <c r="AV14" s="1263">
        <f>SUBTOTAL(9,AV9:AV13)</f>
        <v>7.08124652198108E-2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9</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4.4689558794170487</v>
      </c>
      <c r="AQ23" s="1262">
        <f>IF(ISNUMBER(((Datos!M23/Datos!L23)*11)/factor_trimestre),((Datos!M23/Datos!L23)*11)/factor_trimestre," - ")</f>
        <v>3.2081081081081084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-0.14492753623188406</v>
      </c>
      <c r="AW23" s="1265">
        <f>IF(ISNUMBER((Datos!Q23-Datos!R23)/(Datos!S23-Datos!Q23+Datos!R23)),(Datos!Q23-Datos!R23)/(Datos!S23-Datos!Q23+Datos!R23)," - ")</f>
        <v>-4.8140043763676151E-2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72</v>
      </c>
      <c r="G31" s="1278">
        <f t="shared" si="8"/>
        <v>72</v>
      </c>
      <c r="H31" s="1278">
        <f t="shared" si="8"/>
        <v>0</v>
      </c>
      <c r="I31" s="1279">
        <f t="shared" si="8"/>
        <v>0</v>
      </c>
      <c r="J31" s="1280">
        <f t="shared" si="8"/>
        <v>0</v>
      </c>
      <c r="K31" s="1280">
        <f t="shared" si="8"/>
        <v>0</v>
      </c>
      <c r="L31" s="1280">
        <f t="shared" si="8"/>
        <v>0</v>
      </c>
      <c r="M31" s="1280">
        <f t="shared" si="8"/>
        <v>0</v>
      </c>
      <c r="N31" s="1279">
        <f t="shared" si="8"/>
        <v>2268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138</v>
      </c>
      <c r="AC31" s="1284">
        <f t="shared" si="9"/>
        <v>0</v>
      </c>
      <c r="AD31" s="1284">
        <f t="shared" si="9"/>
        <v>1230</v>
      </c>
      <c r="AE31" s="1284">
        <f t="shared" si="9"/>
        <v>0</v>
      </c>
      <c r="AF31" s="1285">
        <f t="shared" si="9"/>
        <v>83</v>
      </c>
      <c r="AG31" s="1285">
        <f t="shared" si="9"/>
        <v>0</v>
      </c>
      <c r="AH31" s="1285">
        <f t="shared" si="9"/>
        <v>15394</v>
      </c>
      <c r="AI31" s="1285">
        <f t="shared" si="9"/>
        <v>0</v>
      </c>
      <c r="AJ31" s="1286">
        <f t="shared" si="9"/>
        <v>0</v>
      </c>
      <c r="AK31" s="1286">
        <f t="shared" si="9"/>
        <v>0</v>
      </c>
      <c r="AL31" s="1278">
        <f t="shared" si="9"/>
        <v>2054</v>
      </c>
      <c r="AM31" s="1278">
        <f t="shared" si="9"/>
        <v>3839</v>
      </c>
      <c r="AN31" s="1278">
        <f t="shared" si="9"/>
        <v>0</v>
      </c>
      <c r="AO31" s="1278">
        <f t="shared" si="9"/>
        <v>0</v>
      </c>
      <c r="AP31" s="1278">
        <f>IF(ISNUMBER(((Datos!L31/Datos!K31)*11)/factor_trimestre),((Datos!L31/Datos!K31)*11)/factor_trimestre," - ")</f>
        <v>6.2351230657389136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-1.9166666666666667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6.3588443317541876E-2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4.1466184348749096</v>
      </c>
      <c r="F33" s="1006">
        <f>IF(ISNUMBER(STDEV(F8:F30)),STDEV(F8:F30),"-")</f>
        <v>39.436024140371963</v>
      </c>
      <c r="G33" s="1007">
        <f>IF(ISNUMBER(STDEV(G8:G30)),STDEV(G8:G30),"-")</f>
        <v>39.436024140371963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75.58571293571292</v>
      </c>
      <c r="AC33" s="1008">
        <f>IF(ISNUMBER(STDEV(AC8:AC30)),STDEV(AC8:AC30),"-")</f>
        <v>0</v>
      </c>
      <c r="AD33" s="1011"/>
      <c r="AE33" s="1011"/>
      <c r="AF33" s="1011"/>
      <c r="AG33" s="1011"/>
      <c r="AH33" s="1011"/>
      <c r="AI33" s="1011"/>
      <c r="AJ33" s="1012">
        <f>IF(ISNUMBER(STDEV(AJ8:AJ30)),STDEV(AJ8:AJ30),"-")</f>
        <v>0</v>
      </c>
      <c r="AK33" s="1014"/>
      <c r="AL33" s="1006">
        <f>IF(ISNUMBER(STDEV(AL8:AL30)),STDEV(AL8:AL30),"-")</f>
        <v>1044.2485655564326</v>
      </c>
      <c r="AM33" s="1006"/>
      <c r="AN33" s="1006">
        <f>IF(ISNUMBER(STDEV(AN8:AN30)),STDEV(AN8:AN30),"-")</f>
        <v>0</v>
      </c>
      <c r="AO33" s="1012">
        <f>IF(ISNUMBER(STDEV(AO8:AO30)),STDEV(AO8:AO30),"-")</f>
        <v>0</v>
      </c>
      <c r="AP33" s="1065">
        <f>IF(ISNUMBER(STDEV(AP8:AP30)),STDEV(AP8:AP30),"-")</f>
        <v>1.6924159845925855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yWXzvagFNsHKVNvvF5DlVAFMfpb5Pn84DojPTPG2HYaCr8YWzVcoSJJo2M/pGJ612vdvabjAQw0szsoPC2IR6g==" saltValue="zQ7HSmcl7k8MCWmhYJnt3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EL VENDRELL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9</v>
      </c>
      <c r="D12" s="451">
        <f>Datos!BK12</f>
        <v>0</v>
      </c>
      <c r="E12" s="451">
        <f>Datos!AQ12</f>
        <v>9</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9</v>
      </c>
      <c r="D17" s="451">
        <f>Datos!BK17</f>
        <v>0</v>
      </c>
      <c r="E17" s="451">
        <f>Datos!AQ17</f>
        <v>9</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NuWhN1n5fZjDnQtk8ut7BO2m/fCH7cvGfhqAHXtsD1dOceJ+kVDet/jRrtmcUI2xmcsW4xFaITfnxEQqKTI4HQ==" saltValue="Xx/RLsQOvD5bhz8FgcRI1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EL VENDRELL</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43</v>
      </c>
      <c r="E10" s="452">
        <f>IF(ISNUMBER(D10/B10),D10/B10," - ")</f>
        <v>43</v>
      </c>
      <c r="F10" s="451">
        <f>IF(ISNUMBER(Datos!N10),Datos!N10," - ")</f>
        <v>54</v>
      </c>
      <c r="G10" s="452">
        <f>IF(ISNUMBER(F10/B10),F10/B10," - ")</f>
        <v>54</v>
      </c>
      <c r="H10" s="451">
        <f>IF(ISNUMBER(Datos!O10),Datos!O10," - ")</f>
        <v>51</v>
      </c>
      <c r="I10" s="452">
        <f t="shared" ref="I10:I13" si="2">IF(ISNUMBER(H10/B10),H10/B10," - ")</f>
        <v>51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9</v>
      </c>
      <c r="C12" s="458">
        <f>Datos!AQ12</f>
        <v>9</v>
      </c>
      <c r="D12" s="451">
        <f>IF(ISNUMBER(Datos!M12),Datos!M12," - ")</f>
        <v>2011</v>
      </c>
      <c r="E12" s="452">
        <f t="shared" si="0"/>
        <v>223.44444444444446</v>
      </c>
      <c r="F12" s="451">
        <f>IF(ISNUMBER(Datos!N12),Datos!N12," - ")</f>
        <v>3785</v>
      </c>
      <c r="G12" s="452">
        <f t="shared" si="1"/>
        <v>420.55555555555554</v>
      </c>
      <c r="H12" s="451">
        <f>IF(ISNUMBER(Datos!O12),Datos!O12," - ")</f>
        <v>4103</v>
      </c>
      <c r="I12" s="452">
        <f t="shared" si="2"/>
        <v>455.88888888888891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2054</v>
      </c>
      <c r="E14" s="1147">
        <f t="shared" si="0"/>
        <v>205.4</v>
      </c>
      <c r="F14" s="1146">
        <f>SUBTOTAL(9,F9:F13)</f>
        <v>3839</v>
      </c>
      <c r="G14" s="1147">
        <f t="shared" si="1"/>
        <v>383.9</v>
      </c>
      <c r="H14" s="1146">
        <f>SUBTOTAL(9,H9:H13)</f>
        <v>4154</v>
      </c>
      <c r="I14" s="1147">
        <f>IF(ISNUMBER(H14/B14),H14/B14," - ")</f>
        <v>415.4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9</v>
      </c>
      <c r="C17" s="481">
        <f>Datos!AQ17</f>
        <v>9</v>
      </c>
      <c r="D17" s="451">
        <f>IF(ISNUMBER(Datos!M17),Datos!M17," - ")</f>
        <v>1139</v>
      </c>
      <c r="E17" s="452">
        <f t="shared" si="3"/>
        <v>126.55555555555556</v>
      </c>
      <c r="F17" s="451">
        <f>IF(ISNUMBER(Datos!N17),Datos!N17," - ")</f>
        <v>4971</v>
      </c>
      <c r="G17" s="452">
        <f t="shared" si="4"/>
        <v>552.33333333333337</v>
      </c>
      <c r="H17" s="451">
        <f>IF(ISNUMBER(Datos!O17),Datos!O17," - ")</f>
        <v>113</v>
      </c>
      <c r="I17" s="452">
        <f t="shared" si="5"/>
        <v>12.555555555555555</v>
      </c>
    </row>
    <row r="18" spans="1:9">
      <c r="A18" s="450" t="str">
        <f>Datos!A18</f>
        <v>Jdos. Violencia contra la mujer</v>
      </c>
      <c r="B18" s="480">
        <f>Datos!AO18</f>
        <v>1</v>
      </c>
      <c r="C18" s="481">
        <f>Datos!AQ18</f>
        <v>1</v>
      </c>
      <c r="D18" s="451">
        <f>IF(ISNUMBER(Datos!M18),Datos!M18," - ")</f>
        <v>48</v>
      </c>
      <c r="E18" s="452">
        <f>IF(ISNUMBER(D18/B18),D18/B18," - ")</f>
        <v>48</v>
      </c>
      <c r="F18" s="451">
        <f>IF(ISNUMBER(Datos!N18),Datos!N18," - ")</f>
        <v>477</v>
      </c>
      <c r="G18" s="452">
        <f>IF(ISNUMBER(F18/B18),F18/B18," - ")</f>
        <v>477</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10</v>
      </c>
      <c r="D23" s="1146">
        <f>SUBTOTAL(9,D16:D22)</f>
        <v>1187</v>
      </c>
      <c r="E23" s="1147">
        <f t="shared" si="3"/>
        <v>118.7</v>
      </c>
      <c r="F23" s="1146">
        <f>SUBTOTAL(9,F16:F22)</f>
        <v>5448</v>
      </c>
      <c r="G23" s="1147">
        <f t="shared" si="4"/>
        <v>544.79999999999995</v>
      </c>
      <c r="H23" s="1146">
        <f>SUBTOTAL(9,H16:H22)</f>
        <v>114</v>
      </c>
      <c r="I23" s="1147">
        <f>IF(ISNUMBER(H23/B23),H23/B23," - ")</f>
        <v>11.4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3241</v>
      </c>
      <c r="E31" s="1085">
        <f>IF(ISNUMBER(D31/B31),D31/B31," - ")</f>
        <v>324.10000000000002</v>
      </c>
      <c r="F31" s="1084">
        <f>SUBTOTAL(9,F8:F30)</f>
        <v>9287</v>
      </c>
      <c r="G31" s="1085">
        <f>IF(ISNUMBER(F31/B31),F31/B31," - ")</f>
        <v>928.7</v>
      </c>
      <c r="H31" s="1084">
        <f>SUBTOTAL(9,H8:H30)</f>
        <v>4268</v>
      </c>
      <c r="I31" s="1085">
        <f>IF(ISNUMBER(H31/B31),H31/B31," - ")</f>
        <v>426.8</v>
      </c>
    </row>
    <row r="34" spans="1:1">
      <c r="A34" s="439" t="str">
        <f>Criterios!A4</f>
        <v>Fecha Informe: 14 abr. 2023</v>
      </c>
    </row>
    <row r="39" spans="1:1">
      <c r="A39" s="462"/>
    </row>
  </sheetData>
  <sheetProtection algorithmName="SHA-512" hashValue="fgfubuousryfydYJJlgX3VTvYpJqdqSgE1/8OypZkv7e4sCkPPyNkVdHTMBR/TGAMug/oRXKwbX7obROWJzFUg==" saltValue="hQPaV5ROSVHg6/dirr4a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EL VENDRELL</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20</v>
      </c>
      <c r="C10" s="489">
        <f>IF(ISNUMBER(Datos!Q10),Datos!Q10," - ")</f>
        <v>15</v>
      </c>
      <c r="D10" s="456">
        <f>IF(ISNUMBER(Datos!R10),Datos!R10," - ")</f>
        <v>133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2248</v>
      </c>
      <c r="C12" s="489">
        <f>IF(ISNUMBER(Datos!Q12),Datos!Q12," - ")</f>
        <v>1230</v>
      </c>
      <c r="D12" s="456">
        <f>IF(ISNUMBER(Datos!R12),Datos!R12," - ")</f>
        <v>15394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2268</v>
      </c>
      <c r="C14" s="1150">
        <f>SUBTOTAL(9,C9:C13)</f>
        <v>1245</v>
      </c>
      <c r="D14" s="1148">
        <f>SUBTOTAL(9,D9:D13)</f>
        <v>15527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161</v>
      </c>
      <c r="C17" s="489">
        <f>IF(ISNUMBER(Datos!Q17),Datos!Q17," - ")</f>
        <v>236</v>
      </c>
      <c r="D17" s="456">
        <f>IF(ISNUMBER(Datos!R17),Datos!R17," - ")</f>
        <v>407</v>
      </c>
    </row>
    <row r="18" spans="1:4">
      <c r="A18" s="450" t="str">
        <f>Datos!A18</f>
        <v>Jdos. Violencia contra la mujer</v>
      </c>
      <c r="B18" s="488">
        <f>IF(ISNUMBER(Datos!P18),Datos!P18," - ")</f>
        <v>6</v>
      </c>
      <c r="C18" s="489">
        <f>IF(ISNUMBER(Datos!Q18),Datos!Q18," - ")</f>
        <v>1</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167</v>
      </c>
      <c r="C23" s="1150">
        <f>SUBTOTAL(9,C16:C22)</f>
        <v>237</v>
      </c>
      <c r="D23" s="1148">
        <f>SUBTOTAL(9,D16:D22)</f>
        <v>413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2435</v>
      </c>
      <c r="C31" s="1089">
        <f>SUBTOTAL(9,C8:C30)</f>
        <v>1482</v>
      </c>
      <c r="D31" s="1090">
        <f>SUBTOTAL(9,D8:D30)</f>
        <v>15940</v>
      </c>
    </row>
    <row r="32" spans="1:4" ht="7.5" customHeight="1"/>
    <row r="33" spans="1:1" ht="6" customHeight="1"/>
    <row r="34" spans="1:1">
      <c r="A34" s="439" t="str">
        <f>Criterios!A4</f>
        <v>Fecha Informe: 14 abr. 2023</v>
      </c>
    </row>
    <row r="39" spans="1:1">
      <c r="A39" s="462"/>
    </row>
  </sheetData>
  <sheetProtection algorithmName="SHA-512" hashValue="pxriuftjWbIAJ4BDEYi6Bw5wE7vUqRKls09f9qvW9wX6f8/nPL0oT0glayJpYR1uJB34mfeyr1l4BDm0nE9cgw==" saltValue="+ngnZAX3DGnppp6i2EvS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EL VENDRELL</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-0.17241379310344829</v>
      </c>
      <c r="C10" s="515">
        <f>IF(ISNUMBER((Datos!J10-Datos!T10)/Datos!T10),(Datos!J10-Datos!T10)/Datos!T10," - ")</f>
        <v>0.192</v>
      </c>
      <c r="D10" s="515">
        <f>IF(ISNUMBER((Datos!K10-Datos!U10)/Datos!U10),(Datos!K10-Datos!U10)/Datos!U10," - ")</f>
        <v>6.9767441860465115E-2</v>
      </c>
      <c r="E10" s="515">
        <f>IF(ISNUMBER((Datos!L10-Datos!V10)/Datos!V10),(Datos!L10-Datos!V10)/Datos!V10," - ")</f>
        <v>0.15277777777777779</v>
      </c>
      <c r="F10" s="515">
        <f>IF(ISNUMBER((Datos!M10-Datos!W10)/Datos!W10),(Datos!M10-Datos!W10)/Datos!W10," - ")</f>
        <v>0.13157894736842105</v>
      </c>
      <c r="G10" s="516">
        <f>IF(ISNUMBER((Datos!N10-Datos!X10)/Datos!X10),(Datos!N10-Datos!X10)/Datos!X10," - ")</f>
        <v>0</v>
      </c>
      <c r="H10" s="514">
        <f>IF(ISNUMBER(((NºAsuntos!G10/NºAsuntos!E10)-Datos!BD10)/Datos!BD10),((NºAsuntos!G10/NºAsuntos!E10)-Datos!BD10)/Datos!BD10," - ")</f>
        <v>-0.10254409239893869</v>
      </c>
      <c r="I10" s="515">
        <f>IF(ISNUMBER(((NºAsuntos!I10/NºAsuntos!G10)-Datos!BE10)/Datos!BE10),((NºAsuntos!I10/NºAsuntos!G10)-Datos!BE10)/Datos!BE10," - ")</f>
        <v>7.7596618357487948E-2</v>
      </c>
      <c r="J10" s="521">
        <f>IF(ISNUMBER((('Resol  Asuntos'!D10/NºAsuntos!G10)-Datos!BF10)/Datos!BF10),(('Resol  Asuntos'!D10/NºAsuntos!G10)-Datos!BF10)/Datos!BF10," - ")</f>
        <v>5.7780320366132627E-2</v>
      </c>
      <c r="K10" s="522">
        <f>IF(ISNUMBER((((NºAsuntos!C10+NºAsuntos!E10)/NºAsuntos!G10)-Datos!BG10)/Datos!BG10),(((NºAsuntos!C10+NºAsuntos!E10)/NºAsuntos!G10)-Datos!BG10)/Datos!BG10," - ")</f>
        <v>-2.553322395406072E-2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2.2508038585209004E-2</v>
      </c>
      <c r="C12" s="515">
        <f>IF(ISNUMBER(
   IF(J_V="SI",(Datos!J12-Datos!T12)/Datos!T12,(Datos!J12+Datos!Z12-(Datos!T12+Datos!AH12))/(Datos!T12+Datos!AH12))
     ),IF(J_V="SI",(Datos!J12-Datos!T12)/Datos!T12,(Datos!J12+Datos!Z12-(Datos!T12+Datos!AH12))/(Datos!T12+Datos!AH12))," - ")</f>
        <v>0.32531842994541199</v>
      </c>
      <c r="D12" s="515">
        <f>IF(ISNUMBER(
   IF(J_V="SI",(Datos!K12-Datos!U12)/Datos!U12,(Datos!K12+Datos!AA12-(Datos!U12+Datos!AI12))/(Datos!U12+Datos!AI12))
     ),IF(J_V="SI",(Datos!K12-Datos!U12)/Datos!U12,(Datos!K12+Datos!AA12-(Datos!U12+Datos!AI12))/(Datos!U12+Datos!AI12))," - ")</f>
        <v>0.28817175623416458</v>
      </c>
      <c r="E12" s="515">
        <f>IF(ISNUMBER(
   IF(J_V="SI",(Datos!L12-Datos!V12)/Datos!V12,(Datos!L12+Datos!AB12-(Datos!V12+Datos!AJ12))/(Datos!V12+Datos!AJ12))
     ),IF(J_V="SI",(Datos!L12-Datos!V12)/Datos!V12,(Datos!L12+Datos!AB12-(Datos!V12+Datos!AJ12))/(Datos!V12+Datos!AJ12))," - ")</f>
        <v>9.654088050314466E-2</v>
      </c>
      <c r="F12" s="515">
        <f>IF(ISNUMBER((Datos!M12-Datos!W12)/Datos!W12),(Datos!M12-Datos!W12)/Datos!W12," - ")</f>
        <v>9.5381526104417677E-3</v>
      </c>
      <c r="G12" s="516">
        <f>IF(ISNUMBER((Datos!N12-Datos!X12)/Datos!X12),(Datos!N12-Datos!X12)/Datos!X12," - ")</f>
        <v>0.59637283846478284</v>
      </c>
      <c r="H12" s="514">
        <f>IF(ISNUMBER(((NºAsuntos!G12/NºAsuntos!E12)-Datos!BD12)/Datos!BD12),((NºAsuntos!G12/NºAsuntos!E12)-Datos!BD12)/Datos!BD12," - ")</f>
        <v>-2.8028489510085131E-2</v>
      </c>
      <c r="I12" s="515">
        <f>IF(ISNUMBER(((NºAsuntos!I12/NºAsuntos!G12)-Datos!BE12)/Datos!BE12),((NºAsuntos!I12/NºAsuntos!G12)-Datos!BE12)/Datos!BE12," - ")</f>
        <v>-0.14876189825123387</v>
      </c>
      <c r="J12" s="521">
        <f>IF(ISNUMBER((('Resol  Asuntos'!D12/NºAsuntos!G12)-Datos!BF12)/Datos!BF12),(('Resol  Asuntos'!D12/NºAsuntos!G12)-Datos!BF12)/Datos!BF12," - ")</f>
        <v>-0.34157434598360281</v>
      </c>
      <c r="K12" s="522">
        <f>IF(ISNUMBER((((NºAsuntos!C12+NºAsuntos!E12)/NºAsuntos!G12)-Datos!BG12)/Datos!BG12),(((NºAsuntos!C12+NºAsuntos!E12)/NºAsuntos!G12)-Datos!BG12)/Datos!BG12," - ")</f>
        <v>-7.6246967842389393E-2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1.9819248454098621E-2</v>
      </c>
      <c r="C14" s="1152">
        <f>IF(ISNUMBER(
   IF(J_V="SI",(Datos!J14-Datos!T14)/Datos!T14,(Datos!J14+Datos!Z14-(Datos!T14+Datos!AH14))/(Datos!T14+Datos!AH14))
     ),IF(J_V="SI",(Datos!J14-Datos!T14)/Datos!T14,(Datos!J14+Datos!Z14-(Datos!T14+Datos!AH14))/(Datos!T14+Datos!AH14))," - ")</f>
        <v>0.32318710832587288</v>
      </c>
      <c r="D14" s="1152">
        <f>IF(ISNUMBER(
   IF(J_V="SI",(Datos!K14-Datos!U14)/Datos!U14,(Datos!K14+Datos!AA14-(Datos!U14+Datos!AI14))/(Datos!U14+Datos!AI14))
     ),IF(J_V="SI",(Datos!K14-Datos!U14)/Datos!U14,(Datos!K14+Datos!AA14-(Datos!U14+Datos!AI14))/(Datos!U14+Datos!AI14))," - ")</f>
        <v>0.28447823807026745</v>
      </c>
      <c r="E14" s="1152">
        <f>IF(ISNUMBER(
   IF(J_V="SI",(Datos!L14-Datos!V14)/Datos!V14,(Datos!L14+Datos!AB14-(Datos!V14+Datos!AJ14))/(Datos!V14+Datos!AJ14))
     ),IF(J_V="SI",(Datos!L14-Datos!V14)/Datos!V14,(Datos!L14+Datos!AB14-(Datos!V14+Datos!AJ14))/(Datos!V14+Datos!AJ14))," - ")</f>
        <v>9.7170398009950254E-2</v>
      </c>
      <c r="F14" s="1153">
        <f>IF(ISNUMBER((Datos!M14-Datos!W14)/Datos!W14),(Datos!M14-Datos!W14)/Datos!W14," - ")</f>
        <v>1.1822660098522168E-2</v>
      </c>
      <c r="G14" s="1154">
        <f>IF(ISNUMBER((Datos!N14-Datos!X14)/Datos!X14),(Datos!N14-Datos!X14)/Datos!X14," - ")</f>
        <v>0.58309278350515459</v>
      </c>
      <c r="H14" s="1154">
        <f>IF(ISNUMBER(((NºAsuntos!G14/NºAsuntos!E14)-Datos!BD14)/Datos!BD14),((NºAsuntos!G14/NºAsuntos!E14)-Datos!BD14)/Datos!BD14," - ")</f>
        <v>-2.9254267980724884E-2</v>
      </c>
      <c r="I14" s="1154">
        <f>IF(ISNUMBER(((NºAsuntos!I14/NºAsuntos!G14)-Datos!BE14)/Datos!BE14),((NºAsuntos!I14/NºAsuntos!G14)-Datos!BE14)/Datos!BE14," - ")</f>
        <v>-0.14582406654216165</v>
      </c>
      <c r="J14" s="1154">
        <f>IF(ISNUMBER((('Resol  Asuntos'!D14/NºAsuntos!G14)-Datos!BF14)/Datos!BF14),(('Resol  Asuntos'!D14/NºAsuntos!G14)-Datos!BF14)/Datos!BF14," - ")</f>
        <v>-0.33620054956531226</v>
      </c>
      <c r="K14" s="1154">
        <f>IF(ISNUMBER((((NºAsuntos!C14+NºAsuntos!E14)/NºAsuntos!G14)-Datos!BG14)/Datos!BG14),(((NºAsuntos!C14+NºAsuntos!E14)/NºAsuntos!G14)-Datos!BG14)/Datos!BG14," - ")</f>
        <v>-7.531409568859411E-2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8.9601438417740487E-2</v>
      </c>
      <c r="C17" s="515">
        <f>IF(ISNUMBER(
   IF(D_I="SI",(Datos!J17-Datos!T17)/Datos!T17,(Datos!J17+Datos!AD17-(Datos!T17+Datos!AL17))/(Datos!T17+Datos!AL17))
     ),IF(D_I="SI",(Datos!J17-Datos!T17)/Datos!T17,(Datos!J17+Datos!AD17-(Datos!T17+Datos!AL17))/(Datos!T17+Datos!AL17))," - ")</f>
        <v>9.7235238987816303E-2</v>
      </c>
      <c r="D17" s="515">
        <f>IF(ISNUMBER(
   IF(D_I="SI",(Datos!K17-Datos!U17)/Datos!U17,(Datos!K17+Datos!AE17-(Datos!U17+Datos!AM17))/(Datos!U17+Datos!AM17))
     ),IF(D_I="SI",(Datos!K17-Datos!U17)/Datos!U17,(Datos!K17+Datos!AE17-(Datos!U17+Datos!AM17))/(Datos!U17+Datos!AM17))," - ")</f>
        <v>8.4586017656883797E-2</v>
      </c>
      <c r="E17" s="515">
        <f>IF(ISNUMBER(
   IF(D_I="SI",(Datos!L17-Datos!V17)/Datos!V17,(Datos!L17+Datos!AF17-(Datos!V17+Datos!AN17))/(Datos!V17+Datos!AN17))
     ),IF(D_I="SI",(Datos!L17-Datos!V17)/Datos!V17,(Datos!L17+Datos!AF17-(Datos!V17+Datos!AN17))/(Datos!V17+Datos!AN17))," - ")</f>
        <v>9.6534653465346537E-2</v>
      </c>
      <c r="F17" s="515">
        <f>IF(ISNUMBER((Datos!M17-Datos!W17)/Datos!W17),(Datos!M17-Datos!W17)/Datos!W17," - ")</f>
        <v>8.2699619771863117E-2</v>
      </c>
      <c r="G17" s="516">
        <f>IF(ISNUMBER((Datos!N17-Datos!X17)/Datos!X17),(Datos!N17-Datos!X17)/Datos!X17," - ")</f>
        <v>2.2839506172839506E-2</v>
      </c>
      <c r="H17" s="514">
        <f>IF(ISNUMBER(((NºAsuntos!G17/NºAsuntos!E17)-Datos!BD17)/Datos!BD17),((NºAsuntos!G17/NºAsuntos!E17)-Datos!BD17)/Datos!BD17," - ")</f>
        <v>-1.1528267486743467E-2</v>
      </c>
      <c r="I17" s="515">
        <f>IF(ISNUMBER(((NºAsuntos!I17/NºAsuntos!G17)-Datos!BE17)/Datos!BE17),((NºAsuntos!I17/NºAsuntos!G17)-Datos!BE17)/Datos!BE17," - ")</f>
        <v>1.1016771020408571E-2</v>
      </c>
      <c r="J17" s="521">
        <f>IF(ISNUMBER((('Resol  Asuntos'!D17/NºAsuntos!G17)-Datos!BF17)/Datos!BF17),(('Resol  Asuntos'!D17/NºAsuntos!G17)-Datos!BF17)/Datos!BF17," - ")</f>
        <v>-1.7392791851548127E-3</v>
      </c>
      <c r="K17" s="522">
        <f>IF(ISNUMBER((((NºAsuntos!C17+NºAsuntos!E17)/NºAsuntos!G17)-Datos!BG17)/Datos!BG17),(((NºAsuntos!C17+NºAsuntos!E17)/NºAsuntos!G17)-Datos!BG17)/Datos!BG17," - ")</f>
        <v>9.6845077199022057E-3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-0.23776223776223776</v>
      </c>
      <c r="C18" s="515">
        <f>IF(ISNUMBER(
   IF(D_I="SI",(Datos!J18-Datos!T18)/Datos!T18,(Datos!J18+Datos!AD18-(Datos!T18+Datos!AL18))/(Datos!T18+Datos!AL18))
     ),IF(D_I="SI",(Datos!J18-Datos!T18)/Datos!T18,(Datos!J18+Datos!AD18-(Datos!T18+Datos!AL18))/(Datos!T18+Datos!AL18))," - ")</f>
        <v>3.0732860520094562E-2</v>
      </c>
      <c r="D18" s="515">
        <f>IF(ISNUMBER(
   IF(D_I="SI",(Datos!K18-Datos!U18)/Datos!U18,(Datos!K18+Datos!AE18-(Datos!U18+Datos!AM18))/(Datos!U18+Datos!AM18))
     ),IF(D_I="SI",(Datos!K18-Datos!U18)/Datos!U18,(Datos!K18+Datos!AE18-(Datos!U18+Datos!AM18))/(Datos!U18+Datos!AM18))," - ")</f>
        <v>2.6578073089700997E-2</v>
      </c>
      <c r="E18" s="515">
        <f>IF(ISNUMBER(
   IF(D_I="SI",(Datos!L18-Datos!V18)/Datos!V18,(Datos!L18+Datos!AF18-(Datos!V18+Datos!AN18))/(Datos!V18+Datos!AN18))
     ),IF(D_I="SI",(Datos!L18-Datos!V18)/Datos!V18,(Datos!L18+Datos!AF18-(Datos!V18+Datos!AN18))/(Datos!V18+Datos!AN18))," - ")</f>
        <v>-0.23853211009174313</v>
      </c>
      <c r="F18" s="515">
        <f>IF(ISNUMBER((Datos!M18-Datos!W18)/Datos!W18),(Datos!M18-Datos!W18)/Datos!W18," - ")</f>
        <v>-0.37662337662337664</v>
      </c>
      <c r="G18" s="516">
        <f>IF(ISNUMBER((Datos!N18-Datos!X18)/Datos!X18),(Datos!N18-Datos!X18)/Datos!X18," - ")</f>
        <v>-6.2500000000000003E-3</v>
      </c>
      <c r="H18" s="514">
        <f>IF(ISNUMBER(((NºAsuntos!G18/NºAsuntos!E18)-Datos!BD18)/Datos!BD18),((NºAsuntos!G18/NºAsuntos!E18)-Datos!BD18)/Datos!BD18," - ")</f>
        <v>-4.0309061537991096E-3</v>
      </c>
      <c r="I18" s="515">
        <f>IF(ISNUMBER(((NºAsuntos!I18/NºAsuntos!G18)-Datos!BE18)/Datos!BE18),((NºAsuntos!I18/NºAsuntos!G18)-Datos!BE18)/Datos!BE18," - ")</f>
        <v>-0.25824648911849418</v>
      </c>
      <c r="J18" s="521">
        <f>IF(ISNUMBER((('Resol  Asuntos'!D18/NºAsuntos!G18)-Datos!BF18)/Datos!BF18),(('Resol  Asuntos'!D18/NºAsuntos!G18)-Datos!BF18)/Datos!BF18," - ")</f>
        <v>-0.39276257722859659</v>
      </c>
      <c r="K18" s="522">
        <f>IF(ISNUMBER((((NºAsuntos!C18+NºAsuntos!E18)/NºAsuntos!G18)-Datos!BG18)/Datos!BG18),(((NºAsuntos!C18+NºAsuntos!E18)/NºAsuntos!G18)-Datos!BG18)/Datos!BG18," - ")</f>
        <v>-3.3769523005487662E-2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7.6149425287356326E-2</v>
      </c>
      <c r="C23" s="1152">
        <f>IF(ISNUMBER(
   IF(Criterios!B14="SI",(Datos!J23-Datos!T23)/Datos!T23,(Datos!J23+Datos!AD23-(Datos!T23+Datos!AL23))/(Datos!T23+Datos!AL23))
     ),IF(Criterios!B14="SI",(Datos!J23-Datos!T23)/Datos!T23,(Datos!J23+Datos!AD23-(Datos!T23+Datos!AL23))/(Datos!T23+Datos!AL23))," - ")</f>
        <v>9.1238541888723088E-2</v>
      </c>
      <c r="D23" s="1152">
        <f>IF(ISNUMBER(
   IF(Criterios!B14="SI",(Datos!K23-Datos!U23)/Datos!U23,(Datos!K23+Datos!AE23-(Datos!U23+Datos!AM23))/(Datos!U23+Datos!AM23))
     ),IF(Criterios!B14="SI",(Datos!K23-Datos!U23)/Datos!U23,(Datos!K23+Datos!AE23-(Datos!U23+Datos!AM23))/(Datos!U23+Datos!AM23))," - ")</f>
        <v>7.8944534194938076E-2</v>
      </c>
      <c r="E23" s="1152">
        <f>IF(ISNUMBER(
   IF(Criterios!B14="SI",(Datos!L23-Datos!V23)/Datos!V23,(Datos!L23+Datos!AF23-(Datos!V23+Datos!AN23))/(Datos!V23+Datos!AN23))
     ),IF(Criterios!B14="SI",(Datos!L23-Datos!V23)/Datos!V23,(Datos!L23+Datos!AF23-(Datos!V23+Datos!AN23))/(Datos!V23+Datos!AN23))," - ")</f>
        <v>8.678237650200267E-2</v>
      </c>
      <c r="F23" s="1153">
        <f>IF(ISNUMBER((Datos!M23-Datos!W23)/Datos!W23),(Datos!M23-Datos!W23)/Datos!W23," - ")</f>
        <v>5.1372896368467667E-2</v>
      </c>
      <c r="G23" s="1154">
        <f>IF(ISNUMBER((Datos!N23-Datos!X23)/Datos!X23),(Datos!N23-Datos!X23)/Datos!X23," - ")</f>
        <v>2.0224719101123594E-2</v>
      </c>
      <c r="H23" s="1154">
        <f>IF(ISNUMBER(((NºAsuntos!G23/NºAsuntos!E23)-Datos!BD23)/Datos!BD23),((NºAsuntos!G23/NºAsuntos!E23)-Datos!BD23)/Datos!BD23," - ")</f>
        <v>-1.1266104725834267E-2</v>
      </c>
      <c r="I23" s="1154">
        <f>IF(ISNUMBER(((NºAsuntos!I23/NºAsuntos!G23)-Datos!BE23)/Datos!BE23),((NºAsuntos!I23/NºAsuntos!G23)-Datos!BE23)/Datos!BE23," - ")</f>
        <v>7.2643607327904135E-3</v>
      </c>
      <c r="J23" s="1154">
        <f>IF(ISNUMBER((('Resol  Asuntos'!D23/NºAsuntos!G23)-Datos!BF23)/Datos!BF23),(('Resol  Asuntos'!D23/NºAsuntos!G23)-Datos!BF23)/Datos!BF23," - ")</f>
        <v>-2.5554268039406827E-2</v>
      </c>
      <c r="K23" s="1154">
        <f>IF(ISNUMBER((((NºAsuntos!C23+NºAsuntos!E23)/NºAsuntos!G23)-Datos!BG23)/Datos!BG23),(((NºAsuntos!C23+NºAsuntos!E23)/NºAsuntos!G23)-Datos!BG23)/Datos!BG23," - ")</f>
        <v>7.6106128235231638E-3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3.9848778992541127E-2</v>
      </c>
      <c r="C31" s="1092">
        <f>IF(ISNUMBER(
   IF(J_V="SI",(Datos!J31-Datos!T31)/Datos!T31,(Datos!J31+Datos!Z31-(Datos!T31+Datos!AH31))/(Datos!T31+Datos!AH31))
     ),IF(J_V="SI",(Datos!J31-Datos!T31)/Datos!T31,(Datos!J31+Datos!Z31-(Datos!T31+Datos!AH31))/(Datos!T31+Datos!AH31))," - ")</f>
        <v>0.1966746119411662</v>
      </c>
      <c r="D31" s="1092">
        <f>IF(ISNUMBER(
   IF(J_V="SI",(Datos!K31-Datos!U31)/Datos!U31,(Datos!K31+Datos!AA31-(Datos!U31+Datos!AI31))/(Datos!U31+Datos!AI31))
     ),IF(J_V="SI",(Datos!K31-Datos!U31)/Datos!U31,(Datos!K31+Datos!AA31-(Datos!U31+Datos!AI31))/(Datos!U31+Datos!AI31))," - ")</f>
        <v>0.17164311476379115</v>
      </c>
      <c r="E31" s="1092">
        <f>IF(ISNUMBER(
   IF(J_V="SI",(Datos!L31-Datos!V31)/Datos!V31,(Datos!L31+Datos!AB31-(Datos!V31+Datos!AJ31))/(Datos!V31+Datos!AJ31))
     ),IF(J_V="SI",(Datos!L31-Datos!V31)/Datos!V31,(Datos!L31+Datos!AB31-(Datos!V31+Datos!AJ31))/(Datos!V31+Datos!AJ31))," - ")</f>
        <v>9.3347744915004416E-2</v>
      </c>
      <c r="F31" s="1093">
        <f>IF(ISNUMBER((Datos!M31-Datos!W31)/Datos!W31),(Datos!M31-Datos!W31)/Datos!W31," - ")</f>
        <v>2.5957581513137068E-2</v>
      </c>
      <c r="G31" s="1094">
        <f>IF(ISNUMBER((Datos!N31-Datos!X31)/Datos!X31),(Datos!N31-Datos!X31)/Datos!X31," - ")</f>
        <v>0.19600772698003863</v>
      </c>
      <c r="H31" s="1095">
        <f>IF(ISNUMBER((Tasas!B31-Datos!BD31)/Datos!BD31),(Tasas!B31-Datos!BD31)/Datos!BD31," - ")</f>
        <v>-2.0917546781384959E-2</v>
      </c>
      <c r="I31" s="1096">
        <f>IF(ISNUMBER((Tasas!C31-Datos!BE31)/Datos!BE31),(Tasas!C31-Datos!BE31)/Datos!BE31," - ")</f>
        <v>-6.6825272015166082E-2</v>
      </c>
      <c r="J31" s="1097">
        <f>IF(ISNUMBER((Tasas!D31-Datos!BF31)/Datos!BF31),(Tasas!D31-Datos!BF31)/Datos!BF31," - ")</f>
        <v>-0.2181456482738994</v>
      </c>
      <c r="K31" s="1097">
        <f>IF(ISNUMBER((Tasas!E31-Datos!BG31)/Datos!BG31),(Tasas!E31-Datos!BG31)/Datos!BG31," - ")</f>
        <v>-2.7175715036913774E-2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64qKbFUrSlg0IUKaQWmtLanPF3AK7SKeg6iCllaKSmcySp6xxtERN7mxvKqE/gvvoONbnlHEkMPS4XlZPkfkw==" saltValue="12RXkILsqCYDhcXRokmVY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EL VENDRELL</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0.9261744966442953</v>
      </c>
      <c r="C10" s="498">
        <f>IF(ISNUMBER(NºAsuntos!I10/NºAsuntos!G10),NºAsuntos!I10/NºAsuntos!G10," - ")</f>
        <v>0.60144927536231885</v>
      </c>
      <c r="D10" s="499">
        <f>IF(ISNUMBER('Resol  Asuntos'!D10/NºAsuntos!G10),'Resol  Asuntos'!D10/NºAsuntos!G10," - ")</f>
        <v>0.31159420289855072</v>
      </c>
      <c r="E10" s="500">
        <f>IF(ISNUMBER((NºAsuntos!C10+NºAsuntos!E10)/NºAsuntos!G10),(NºAsuntos!C10+NºAsuntos!E10)/NºAsuntos!G10," - ")</f>
        <v>1.6014492753623188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0.94733745219182108</v>
      </c>
      <c r="C12" s="498">
        <f>IF(ISNUMBER(NºAsuntos!I12/NºAsuntos!G12),NºAsuntos!I12/NºAsuntos!G12," - ")</f>
        <v>0.72194616977225667</v>
      </c>
      <c r="D12" s="499">
        <f>IF(ISNUMBER('Resol  Asuntos'!D12/NºAsuntos!G12),'Resol  Asuntos'!D12/NºAsuntos!G12," - ")</f>
        <v>0.20817805383022775</v>
      </c>
      <c r="E12" s="500">
        <f>IF(ISNUMBER((NºAsuntos!C12+NºAsuntos!E12)/NºAsuntos!G12),(NºAsuntos!C12+NºAsuntos!E12)/NºAsuntos!G12," - ")</f>
        <v>1.7139751552795031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0.94703266963077515</v>
      </c>
      <c r="C14" s="1156">
        <f>IF(ISNUMBER(NºAsuntos!I14/NºAsuntos!G14),NºAsuntos!I14/NºAsuntos!G14," - ")</f>
        <v>0.72024903041437027</v>
      </c>
      <c r="D14" s="1157">
        <f>IF(ISNUMBER('Resol  Asuntos'!D14/NºAsuntos!G14),'Resol  Asuntos'!D14/NºAsuntos!G14," - ")</f>
        <v>0.20963461931006327</v>
      </c>
      <c r="E14" s="1158">
        <f>IF(ISNUMBER((NºAsuntos!C14+NºAsuntos!E14)/NºAsuntos!G14),(NºAsuntos!C14+NºAsuntos!E14)/NºAsuntos!G14," - ")</f>
        <v>1.7123902837313738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0.97063847960708949</v>
      </c>
      <c r="C17" s="498">
        <f>IF(ISNUMBER(NºAsuntos!I17/NºAsuntos!G17),NºAsuntos!I17/NºAsuntos!G17," - ")</f>
        <v>0.43856561434385655</v>
      </c>
      <c r="D17" s="499">
        <f>IF(ISNUMBER('Resol  Asuntos'!D17/NºAsuntos!G17),'Resol  Asuntos'!D17/NºAsuntos!G17," - ")</f>
        <v>0.12528874711252888</v>
      </c>
      <c r="E17" s="500">
        <f>IF(ISNUMBER((NºAsuntos!C17+NºAsuntos!E17)/NºAsuntos!G17),(NºAsuntos!C17+NºAsuntos!E17)/NºAsuntos!G17," - ")</f>
        <v>1.4302056979430207</v>
      </c>
      <c r="G17" s="523"/>
    </row>
    <row r="18" spans="1:7">
      <c r="A18" s="450" t="str">
        <f>Datos!A18</f>
        <v>Jdos. Violencia contra la mujer</v>
      </c>
      <c r="B18" s="497">
        <f>IF(ISNUMBER(NºAsuntos!G18/NºAsuntos!E18),NºAsuntos!G18/NºAsuntos!E18," - ")</f>
        <v>1.0630733944954129</v>
      </c>
      <c r="C18" s="498">
        <f>IF(ISNUMBER(NºAsuntos!I18/NºAsuntos!G18),NºAsuntos!I18/NºAsuntos!G18," - ")</f>
        <v>8.9536138079827396E-2</v>
      </c>
      <c r="D18" s="499">
        <f>IF(ISNUMBER('Resol  Asuntos'!D18/NºAsuntos!G18),'Resol  Asuntos'!D18/NºAsuntos!G18," - ")</f>
        <v>5.1779935275080909E-2</v>
      </c>
      <c r="E18" s="500">
        <f>IF(ISNUMBER((NºAsuntos!C18+NºAsuntos!E18)/NºAsuntos!G18),(NºAsuntos!C18+NºAsuntos!E18)/NºAsuntos!G18," - ")</f>
        <v>1.058252427184466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0.97851142801328383</v>
      </c>
      <c r="C23" s="1156">
        <f>IF(ISNUMBER(NºAsuntos!I23/NºAsuntos!G23),NºAsuntos!I23/NºAsuntos!G23," - ")</f>
        <v>0.40626871631064082</v>
      </c>
      <c r="D23" s="1159">
        <f>IF(ISNUMBER('Resol  Asuntos'!D23/NºAsuntos!G23),'Resol  Asuntos'!D23/NºAsuntos!G23," - ")</f>
        <v>0.11848672389698543</v>
      </c>
      <c r="E23" s="1158">
        <f>IF(ISNUMBER((NºAsuntos!C23+NºAsuntos!E23)/NºAsuntos!G23),(NºAsuntos!C23+NºAsuntos!E23)/NºAsuntos!G23," - ")</f>
        <v>1.3957875823517669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0.96268946754760976</v>
      </c>
      <c r="C31" s="1099">
        <f>IF(ISNUMBER(NºAsuntos!I31/NºAsuntos!G31),NºAsuntos!I31/NºAsuntos!G31," - ")</f>
        <v>0.56151594670972949</v>
      </c>
      <c r="D31" s="1100">
        <f>IF(ISNUMBER('Resol  Asuntos'!D31/NºAsuntos!G31),'Resol  Asuntos'!D31/NºAsuntos!G31," - ")</f>
        <v>0.16355470327008478</v>
      </c>
      <c r="E31" s="1101">
        <f>IF(ISNUMBER((NºAsuntos!C31+NºAsuntos!E31)/NºAsuntos!G31),(NºAsuntos!C31+NºAsuntos!E31)/NºAsuntos!G31," - ")</f>
        <v>1.5523314493338716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0/1Dl51HS3ntyQieo55lzfvZr/PgK6mzmgeJXAfxYXru9z2eY0Eq4Qo7NTNXgQE+OhL28mH81TnyNZs9mbtRg==" saltValue="LRihwoOO06Jdh7Aj8iDBO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EL VENDRELL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72</v>
      </c>
      <c r="G10" s="373">
        <f>IF(ISNUMBER(Datos!I10),Datos!I10," - ")</f>
        <v>72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138</v>
      </c>
      <c r="X10" s="240">
        <f>IF(ISNUMBER(Datos!Q10),Datos!Q10," - ")</f>
        <v>15</v>
      </c>
      <c r="Y10" s="374">
        <f t="shared" ref="Y10:Y13" si="0">SUM(W10:X10)</f>
        <v>153</v>
      </c>
      <c r="Z10" s="375" t="str">
        <f>IF(ISNUMBER(Datos!CC10),Datos!CC10," - ")</f>
        <v xml:space="preserve"> - </v>
      </c>
      <c r="AA10" s="372">
        <f>IF(ISNUMBER(Datos!L10),Datos!L10,"-")</f>
        <v>83</v>
      </c>
      <c r="AB10" s="374">
        <f>IF(ISNUMBER(Datos!R10),Datos!R10," - ")</f>
        <v>133</v>
      </c>
      <c r="AC10" s="374">
        <f t="shared" ref="AC10:AC13" si="1">IF(ISNUMBER(AA10+AB10),AA10+AB10," - ")</f>
        <v>216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43</v>
      </c>
      <c r="AJ10" s="245" t="str">
        <f>IF(ISNUMBER(Datos!BW10),Datos!BW10," - ")</f>
        <v xml:space="preserve"> - </v>
      </c>
      <c r="AK10" s="246" t="str">
        <f>IF(ISNUMBER(Datos!BX10),Datos!BX10," - ")</f>
        <v xml:space="preserve"> - </v>
      </c>
      <c r="AL10" s="266">
        <f>IF(ISNUMBER(NºAsuntos!G10/NºAsuntos!E10),NºAsuntos!G10/NºAsuntos!E10," - ")</f>
        <v>0.9261744966442953</v>
      </c>
      <c r="AM10" s="284">
        <f>IF(ISNUMBER(((NºAsuntos!I10/NºAsuntos!G10)*11)/factor_trimestre),((NºAsuntos!I10/NºAsuntos!G10)*11)/factor_trimestre," - ")</f>
        <v>6.6159420289855078</v>
      </c>
      <c r="AN10" s="267">
        <f>IF(ISNUMBER('Resol  Asuntos'!D10/NºAsuntos!G10),'Resol  Asuntos'!D10/NºAsuntos!G10," - ")</f>
        <v>0.31159420289855072</v>
      </c>
      <c r="AO10" s="268">
        <f>IF(ISNUMBER((NºAsuntos!C10+NºAsuntos!E10)/NºAsuntos!G10),(NºAsuntos!C10+NºAsuntos!E10)/NºAsuntos!G10," - ")</f>
        <v>1.6014492753623188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9</v>
      </c>
      <c r="B12" s="300" t="s">
        <v>321</v>
      </c>
      <c r="C12" s="7" t="str">
        <f>Datos!A12</f>
        <v xml:space="preserve">Jdos. 1ª Instª. e Instr.                        </v>
      </c>
      <c r="D12" s="7"/>
      <c r="E12" s="1402">
        <f>IF(ISNUMBER(Datos!AQ12),Datos!AQ12," - ")</f>
        <v>9</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2248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1230</v>
      </c>
      <c r="Y12" s="374">
        <f t="shared" si="0"/>
        <v>1230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15394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2011</v>
      </c>
      <c r="AJ12" s="243" t="str">
        <f>IF(ISNUMBER(Datos!BW12),Datos!BW12," - ")</f>
        <v xml:space="preserve"> - </v>
      </c>
      <c r="AK12" s="242" t="str">
        <f>IF(ISNUMBER(Datos!BX12),Datos!BX12," - ")</f>
        <v xml:space="preserve"> - </v>
      </c>
      <c r="AL12" s="266">
        <f>IF(ISNUMBER(NºAsuntos!G12/NºAsuntos!E12),NºAsuntos!G12/NºAsuntos!E12," - ")</f>
        <v>0.94733745219182108</v>
      </c>
      <c r="AM12" s="284">
        <f>IF(ISNUMBER(((NºAsuntos!I12/NºAsuntos!G12)*11)/factor_trimestre),((NºAsuntos!I12/NºAsuntos!G12)*11)/factor_trimestre," - ")</f>
        <v>7.9414078674948234</v>
      </c>
      <c r="AN12" s="267">
        <f>IF(ISNUMBER('Resol  Asuntos'!D12/NºAsuntos!G12),'Resol  Asuntos'!D12/NºAsuntos!G12," - ")</f>
        <v>0.20817805383022775</v>
      </c>
      <c r="AO12" s="268">
        <f>IF(ISNUMBER((NºAsuntos!C12+NºAsuntos!E12)/NºAsuntos!G12),(NºAsuntos!C12+NºAsuntos!E12)/NºAsuntos!G12," - ")</f>
        <v>1.7139751552795031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72</v>
      </c>
      <c r="G14" s="1163">
        <f t="shared" si="5"/>
        <v>72</v>
      </c>
      <c r="H14" s="1162">
        <f t="shared" si="5"/>
        <v>0</v>
      </c>
      <c r="I14" s="1164">
        <f t="shared" si="5"/>
        <v>0</v>
      </c>
      <c r="J14" s="1164">
        <f t="shared" si="5"/>
        <v>0</v>
      </c>
      <c r="K14" s="1164">
        <f t="shared" si="5"/>
        <v>0</v>
      </c>
      <c r="L14" s="1164">
        <f t="shared" si="5"/>
        <v>2268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138</v>
      </c>
      <c r="X14" s="1164">
        <f t="shared" si="6"/>
        <v>1245</v>
      </c>
      <c r="Y14" s="1165">
        <f t="shared" si="6"/>
        <v>1383</v>
      </c>
      <c r="Z14" s="1165">
        <f t="shared" si="6"/>
        <v>0</v>
      </c>
      <c r="AA14" s="1165">
        <f t="shared" si="6"/>
        <v>83</v>
      </c>
      <c r="AB14" s="1165">
        <f t="shared" si="6"/>
        <v>15527</v>
      </c>
      <c r="AC14" s="1165">
        <f t="shared" si="6"/>
        <v>216</v>
      </c>
      <c r="AD14" s="1165">
        <f t="shared" si="6"/>
        <v>0</v>
      </c>
      <c r="AE14" s="1169">
        <f t="shared" si="6"/>
        <v>0</v>
      </c>
      <c r="AF14" s="1162">
        <f t="shared" si="6"/>
        <v>0</v>
      </c>
      <c r="AG14" s="1170">
        <f t="shared" si="6"/>
        <v>0</v>
      </c>
      <c r="AH14" s="1167">
        <f t="shared" si="6"/>
        <v>0</v>
      </c>
      <c r="AI14" s="1162">
        <f t="shared" si="6"/>
        <v>2054</v>
      </c>
      <c r="AJ14" s="1164">
        <f t="shared" si="6"/>
        <v>0</v>
      </c>
      <c r="AK14" s="1167">
        <f>SUBTOTAL(9,AK9:AK13)</f>
        <v>0</v>
      </c>
      <c r="AL14" s="1171">
        <f>IF(ISNUMBER(NºAsuntos!G14/NºAsuntos!E14),NºAsuntos!G14/NºAsuntos!E14," - ")</f>
        <v>0.94703266963077515</v>
      </c>
      <c r="AM14" s="1171">
        <f>IF(ISNUMBER(((NºAsuntos!I14/NºAsuntos!G14)*11)/factor_trimestre),((NºAsuntos!I14/NºAsuntos!G14)*11)/factor_trimestre," - ")</f>
        <v>7.9227393345580728</v>
      </c>
      <c r="AN14" s="1172">
        <f>IF(ISNUMBER('Resol  Asuntos'!D14/NºAsuntos!G14),'Resol  Asuntos'!D14/NºAsuntos!G14," - ")</f>
        <v>0.20963461931006327</v>
      </c>
      <c r="AO14" s="1173">
        <f>IF(ISNUMBER((NºAsuntos!C14+NºAsuntos!E14)/NºAsuntos!G14),(NºAsuntos!C14+NºAsuntos!E14)/NºAsuntos!G14," - ")</f>
        <v>1.7123902837313738</v>
      </c>
      <c r="AP14" s="1174" t="str">
        <f t="shared" si="2"/>
        <v xml:space="preserve"> - </v>
      </c>
      <c r="AQ14" s="1174">
        <f>IF(ISNUMBER((H14-W14+K14)/(F14)),(H14-W14+K14)/(F14)," - ")</f>
        <v>-1.9166666666666667</v>
      </c>
      <c r="AR14" s="1175">
        <f>IF(ISNUMBER((Datos!P14-Datos!Q14)/(Datos!R14-Datos!P14+Datos!Q14)),(Datos!P14-Datos!Q14)/(Datos!R14-Datos!P14+Datos!Q14)," - ")</f>
        <v>7.0532266960838391E-2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9</v>
      </c>
      <c r="B17" s="300" t="s">
        <v>511</v>
      </c>
      <c r="C17" s="173" t="str">
        <f>Datos!A17</f>
        <v xml:space="preserve">Jdos. 1ª Instª. e Instr.                        </v>
      </c>
      <c r="D17" s="173"/>
      <c r="E17" s="1402">
        <f>IF(ISNUMBER(Datos!AQ17),Datos!AQ17," - ")</f>
        <v>9</v>
      </c>
      <c r="F17" s="239">
        <f>IF(ISNUMBER(AA17+W17-Datos!J17-K17),AA17+W17-Datos!J17-K17," - ")</f>
        <v>3712</v>
      </c>
      <c r="G17" s="373">
        <f>IF(ISNUMBER(IF(D_I="SI",Datos!I17,Datos!I17+Datos!AC17)),IF(D_I="SI",Datos!I17,Datos!I17+Datos!AC17)," - ")</f>
        <v>3636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9091</v>
      </c>
      <c r="X17" s="240">
        <f>IF(ISNUMBER(Datos!Q17),Datos!Q17," - ")</f>
        <v>236</v>
      </c>
      <c r="Y17" s="374">
        <f t="shared" ref="Y17:Y22" si="9">SUM(W17:X17)</f>
        <v>9327</v>
      </c>
      <c r="Z17" s="375" t="str">
        <f>IF(ISNUMBER(Datos!CC17),Datos!CC17," - ")</f>
        <v xml:space="preserve"> - </v>
      </c>
      <c r="AA17" s="372">
        <f>IF(ISNUMBER(IF(D_I="SI",Datos!L17,Datos!L17+Datos!AF17)),IF(D_I="SI",Datos!L17,Datos!L17+Datos!AF17)," - ")</f>
        <v>3987</v>
      </c>
      <c r="AB17" s="374">
        <f>IF(ISNUMBER(Datos!R17),Datos!R17," - ")</f>
        <v>407</v>
      </c>
      <c r="AC17" s="374">
        <f t="shared" si="8"/>
        <v>4394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1139</v>
      </c>
      <c r="AJ17" s="245" t="str">
        <f>IF(ISNUMBER(Datos!BW17),Datos!BW17," - ")</f>
        <v xml:space="preserve"> - </v>
      </c>
      <c r="AK17" s="246" t="str">
        <f>IF(ISNUMBER(Datos!BX17),Datos!BX17," - ")</f>
        <v xml:space="preserve"> - </v>
      </c>
      <c r="AL17" s="266">
        <f>IF(ISNUMBER(NºAsuntos!G17/NºAsuntos!E17),NºAsuntos!G17/NºAsuntos!E17," - ")</f>
        <v>0.97063847960708949</v>
      </c>
      <c r="AM17" s="284">
        <f>IF(ISNUMBER(((NºAsuntos!I17/NºAsuntos!G17)*11)/factor_trimestre),((NºAsuntos!I17/NºAsuntos!G17)*11)/factor_trimestre," - ")</f>
        <v>4.8242217577824222</v>
      </c>
      <c r="AN17" s="267">
        <f>IF(ISNUMBER('Resol  Asuntos'!D17/NºAsuntos!G17),'Resol  Asuntos'!D17/NºAsuntos!G17," - ")</f>
        <v>0.12528874711252888</v>
      </c>
      <c r="AO17" s="268">
        <f>IF(ISNUMBER((NºAsuntos!C17+NºAsuntos!E17)/NºAsuntos!G17),(NºAsuntos!C17+NºAsuntos!E17)/NºAsuntos!G17," - ")</f>
        <v>1.4302056979430207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109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927</v>
      </c>
      <c r="X18" s="240">
        <f>IF(ISNUMBER(Datos!Q18),Datos!Q18," - ")</f>
        <v>1</v>
      </c>
      <c r="Y18" s="374">
        <f t="shared" si="9"/>
        <v>928</v>
      </c>
      <c r="Z18" s="375" t="str">
        <f>IF(ISNUMBER(Datos!CC18),Datos!CC18," - ")</f>
        <v xml:space="preserve"> - </v>
      </c>
      <c r="AA18" s="372">
        <f>IF(ISNUMBER(Datos!L18),Datos!L18,"-")</f>
        <v>83</v>
      </c>
      <c r="AB18" s="374">
        <f>IF(ISNUMBER(Datos!R18),Datos!R18," - ")</f>
        <v>6</v>
      </c>
      <c r="AC18" s="374">
        <f t="shared" si="8"/>
        <v>89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48</v>
      </c>
      <c r="AJ18" s="245" t="str">
        <f>IF(ISNUMBER(Datos!BW18),Datos!BW18," - ")</f>
        <v xml:space="preserve"> - </v>
      </c>
      <c r="AK18" s="246" t="str">
        <f>IF(ISNUMBER(Datos!BX18),Datos!BX18," - ")</f>
        <v xml:space="preserve"> - </v>
      </c>
      <c r="AL18" s="266">
        <f>IF(ISNUMBER(NºAsuntos!G18/NºAsuntos!E18),NºAsuntos!G18/NºAsuntos!E18," - ")</f>
        <v>1.0630733944954129</v>
      </c>
      <c r="AM18" s="284">
        <f>IF(ISNUMBER(((NºAsuntos!I18/NºAsuntos!G18)*11)/factor_trimestre),((NºAsuntos!I18/NºAsuntos!G18)*11)/factor_trimestre," - ")</f>
        <v>0.9848975188781014</v>
      </c>
      <c r="AN18" s="267">
        <f>IF(ISNUMBER('Resol  Asuntos'!D18/NºAsuntos!G18),'Resol  Asuntos'!D18/NºAsuntos!G18," - ")</f>
        <v>5.1779935275080909E-2</v>
      </c>
      <c r="AO18" s="268">
        <f>IF(ISNUMBER((NºAsuntos!C18+NºAsuntos!E18)/NºAsuntos!G18),(NºAsuntos!C18+NºAsuntos!E18)/NºAsuntos!G18," - ")</f>
        <v>1.058252427184466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3712</v>
      </c>
      <c r="G23" s="1163">
        <f>SUBTOTAL(9,G16:G22)</f>
        <v>3745</v>
      </c>
      <c r="H23" s="1162">
        <f t="shared" ref="H23:O23" si="13">SUBTOTAL(9,H15:H22)</f>
        <v>0</v>
      </c>
      <c r="I23" s="1164">
        <f t="shared" si="13"/>
        <v>0</v>
      </c>
      <c r="J23" s="1164">
        <f t="shared" si="13"/>
        <v>0</v>
      </c>
      <c r="K23" s="1164">
        <f t="shared" si="13"/>
        <v>0</v>
      </c>
      <c r="L23" s="1164">
        <f t="shared" si="13"/>
        <v>167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10018</v>
      </c>
      <c r="X23" s="1164">
        <f t="shared" si="14"/>
        <v>237</v>
      </c>
      <c r="Y23" s="1165">
        <f t="shared" si="14"/>
        <v>10255</v>
      </c>
      <c r="Z23" s="1165">
        <f t="shared" si="14"/>
        <v>0</v>
      </c>
      <c r="AA23" s="1165">
        <f t="shared" si="14"/>
        <v>4070</v>
      </c>
      <c r="AB23" s="1165">
        <f t="shared" si="14"/>
        <v>413</v>
      </c>
      <c r="AC23" s="1165">
        <f t="shared" si="14"/>
        <v>4483</v>
      </c>
      <c r="AD23" s="1165">
        <f t="shared" si="14"/>
        <v>0</v>
      </c>
      <c r="AE23" s="1169">
        <f t="shared" si="14"/>
        <v>0</v>
      </c>
      <c r="AF23" s="1162">
        <f t="shared" si="14"/>
        <v>0</v>
      </c>
      <c r="AG23" s="1170">
        <f t="shared" si="14"/>
        <v>0</v>
      </c>
      <c r="AH23" s="1167">
        <f t="shared" si="14"/>
        <v>0</v>
      </c>
      <c r="AI23" s="1162">
        <f t="shared" si="14"/>
        <v>1187</v>
      </c>
      <c r="AJ23" s="1164">
        <f t="shared" si="14"/>
        <v>0</v>
      </c>
      <c r="AK23" s="1167">
        <f t="shared" si="14"/>
        <v>0</v>
      </c>
      <c r="AL23" s="1171">
        <f>IF(ISNUMBER(NºAsuntos!G23/NºAsuntos!E23),NºAsuntos!G23/NºAsuntos!E23," - ")</f>
        <v>0.97851142801328383</v>
      </c>
      <c r="AM23" s="1171">
        <f>IF(ISNUMBER(((NºAsuntos!I23/NºAsuntos!G23)*11)/factor_trimestre),((NºAsuntos!I23/NºAsuntos!G23)*11)/factor_trimestre," - ")</f>
        <v>4.4689558794170487</v>
      </c>
      <c r="AN23" s="1172">
        <f>IF(ISNUMBER('Resol  Asuntos'!D23/NºAsuntos!G23),'Resol  Asuntos'!D23/NºAsuntos!G23," - ")</f>
        <v>0.11848672389698543</v>
      </c>
      <c r="AO23" s="1173">
        <f>IF(ISNUMBER((NºAsuntos!C23+NºAsuntos!E23)/NºAsuntos!G23),(NºAsuntos!C23+NºAsuntos!E23)/NºAsuntos!G23," - ")</f>
        <v>1.3957875823517669</v>
      </c>
      <c r="AP23" s="1174" t="str">
        <f t="shared" si="2"/>
        <v xml:space="preserve"> - </v>
      </c>
      <c r="AQ23" s="1174">
        <f>IF(ISNUMBER((H23-W23+K23)/(F23)),(H23-W23+K23)/(F23)," - ")</f>
        <v>-2.6988146551724137</v>
      </c>
      <c r="AR23" s="1175">
        <f>IF(ISNUMBER((Datos!P23-Datos!Q23)/(Datos!R23-Datos!P23+Datos!Q23)),(Datos!P23-Datos!Q23)/(Datos!R23-Datos!P23+Datos!Q23)," - ")</f>
        <v>-0.14492753623188406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20</v>
      </c>
      <c r="F31" s="1117">
        <f t="shared" si="20"/>
        <v>3784</v>
      </c>
      <c r="G31" s="1118">
        <f t="shared" si="20"/>
        <v>3817</v>
      </c>
      <c r="H31" s="1117">
        <f t="shared" si="20"/>
        <v>0</v>
      </c>
      <c r="I31" s="1119">
        <f t="shared" si="20"/>
        <v>0</v>
      </c>
      <c r="J31" s="1119">
        <f t="shared" si="20"/>
        <v>0</v>
      </c>
      <c r="K31" s="1180">
        <f t="shared" si="20"/>
        <v>0</v>
      </c>
      <c r="L31" s="1119">
        <f t="shared" si="20"/>
        <v>2435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10156</v>
      </c>
      <c r="X31" s="1118">
        <f t="shared" si="21"/>
        <v>1482</v>
      </c>
      <c r="Y31" s="1125">
        <f t="shared" si="21"/>
        <v>11638</v>
      </c>
      <c r="Z31" s="1125">
        <f t="shared" si="21"/>
        <v>0</v>
      </c>
      <c r="AA31" s="1125">
        <f t="shared" si="21"/>
        <v>4153</v>
      </c>
      <c r="AB31" s="1125">
        <f t="shared" si="21"/>
        <v>15940</v>
      </c>
      <c r="AC31" s="1125">
        <f t="shared" si="21"/>
        <v>4699</v>
      </c>
      <c r="AD31" s="1125">
        <f t="shared" si="21"/>
        <v>0</v>
      </c>
      <c r="AE31" s="1127">
        <f t="shared" si="21"/>
        <v>0</v>
      </c>
      <c r="AF31" s="1128">
        <f t="shared" si="21"/>
        <v>0</v>
      </c>
      <c r="AG31" s="1129">
        <f t="shared" si="21"/>
        <v>0</v>
      </c>
      <c r="AH31" s="1127">
        <f t="shared" si="21"/>
        <v>0</v>
      </c>
      <c r="AI31" s="1117">
        <f t="shared" si="21"/>
        <v>3241</v>
      </c>
      <c r="AJ31" s="1117">
        <f t="shared" si="21"/>
        <v>0</v>
      </c>
      <c r="AK31" s="1127">
        <f t="shared" si="21"/>
        <v>0</v>
      </c>
      <c r="AL31" s="1183">
        <f>IF(ISNUMBER(NºAsuntos!G31/NºAsuntos!E31),NºAsuntos!G31/NºAsuntos!E31," - ")</f>
        <v>0.96268946754760976</v>
      </c>
      <c r="AM31" s="1184">
        <f>IF(ISNUMBER(((NºAsuntos!I31/NºAsuntos!G31)*11)/factor_trimestre),((NºAsuntos!I31/NºAsuntos!G31)*11)/factor_trimestre," - ")</f>
        <v>6.1766754138070246</v>
      </c>
      <c r="AN31" s="1184">
        <f>IF(ISNUMBER('Resol  Asuntos'!D31/NºAsuntos!G31),'Resol  Asuntos'!D31/NºAsuntos!G31," - ")</f>
        <v>0.16355470327008478</v>
      </c>
      <c r="AO31" s="1185">
        <f>IF(ISNUMBER((NºAsuntos!C31+NºAsuntos!E31)/NºAsuntos!G31),(NºAsuntos!C31+NºAsuntos!E31)/NºAsuntos!G31," - ")</f>
        <v>1.5523314493338716</v>
      </c>
      <c r="AP31" s="1186" t="str">
        <f t="shared" si="2"/>
        <v xml:space="preserve"> - </v>
      </c>
      <c r="AQ31" s="1187">
        <f>IF(OR(ISNUMBER(FIND("01",Criterios!A8,1)),ISNUMBER(FIND("02",Criterios!A8,1)),ISNUMBER(FIND("03",Criterios!A8,1)),ISNUMBER(FIND("04",Criterios!A8,1))),(I31-W31+K31)/(F31-K31),(H31-W31+K31)/(F31-K31))</f>
        <v>-2.6839323467230445</v>
      </c>
      <c r="AR31" s="1188">
        <f>IF(ISNUMBER((Datos!P31-Datos!Q31)/(Datos!R31-Datos!P31+Datos!Q31)),(Datos!P31-Datos!Q31)/(Datos!R31-Datos!P31+Datos!Q31)," - ")</f>
        <v>6.3588443317541876E-2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1090.5714285714287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3.9425701831575308</v>
      </c>
      <c r="F33" s="276">
        <f>IF(ISNUMBER(STDEV(F8:F30)),STDEV(F8:F30),"-")</f>
        <v>1898.5513073569193</v>
      </c>
      <c r="G33" s="277">
        <f>IF(ISNUMBER(STDEV(G8:G30)),STDEV(G8:G30),"-")</f>
        <v>1776.8111752183891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4563.7046615765175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904.07328242792357</v>
      </c>
      <c r="AJ33" s="276">
        <f t="shared" si="25"/>
        <v>0</v>
      </c>
      <c r="AK33" s="278">
        <f t="shared" si="25"/>
        <v>0</v>
      </c>
      <c r="AL33" s="273">
        <f t="shared" si="25"/>
        <v>4.831170239550623E-2</v>
      </c>
      <c r="AM33" s="274">
        <f t="shared" si="25"/>
        <v>2.6446775261420221</v>
      </c>
      <c r="AN33" s="274">
        <f t="shared" si="25"/>
        <v>9.1325766954144919E-2</v>
      </c>
      <c r="AO33" s="275">
        <f t="shared" si="25"/>
        <v>0.24930722049361298</v>
      </c>
      <c r="AP33" s="317" t="str">
        <f t="shared" si="25"/>
        <v>-</v>
      </c>
      <c r="AQ33" s="318">
        <f t="shared" si="25"/>
        <v>0.55306214656383201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mJLlPe17YIpWzCBJUlys1hGMNQugFrLJpUOKFm8uTwTud/v3JQ1hgyNISimlcZpcGup13WmcKhJ6l0DymXvUjA==" saltValue="2Ij5//j7Yvx3cVHobazfr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EL VENDRELL</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-0.17241379310344829</v>
      </c>
      <c r="E10" s="393">
        <f>IF(ISNUMBER((Datos!J10-Datos!T10)/Datos!T10),(Datos!J10-Datos!T10)/Datos!T10," - ")</f>
        <v>0.192</v>
      </c>
      <c r="F10" s="393">
        <f>IF(ISNUMBER((Datos!K10-Datos!U10)/Datos!U10),(Datos!K10-Datos!U10)/Datos!U10," - ")</f>
        <v>6.9767441860465115E-2</v>
      </c>
      <c r="G10" s="394">
        <f>IF(ISNUMBER((Datos!L10-Datos!V10)/Datos!V10),(Datos!L10-Datos!V10)/Datos!V10," - ")</f>
        <v>0.15277777777777779</v>
      </c>
      <c r="H10" s="244">
        <f>IF(ISNUMBER((Datos!M10-Datos!W10)/Datos!W10),(Datos!M10-Datos!W10)/Datos!W10," - ")</f>
        <v>0.13157894736842105</v>
      </c>
      <c r="I10" s="395">
        <f>IF(ISNUMBER((Tasas!C10-Datos!BE10)/Datos!BE10),(Tasas!C10-Datos!BE10)/Datos!BE10," - ")</f>
        <v>7.7596618357487948E-2</v>
      </c>
      <c r="J10" s="394">
        <f>IF(ISNUMBER((Tasas!D10-Datos!BF10)/Datos!BF10),(Tasas!D10-Datos!BF10)/Datos!BF10," - ")</f>
        <v>5.7780320366132627E-2</v>
      </c>
      <c r="K10" s="396">
        <f>IF(ISNUMBER((Tasas!E10-Datos!BG10)/Datos!BG10),(Tasas!E10-Datos!BG10)/Datos!BG10," - ")</f>
        <v>-2.553322395406072E-2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9.5381526104417677E-3</v>
      </c>
      <c r="I12" s="395">
        <f>IF(ISNUMBER((Tasas!C12-Datos!BE12)/Datos!BE12),(Tasas!C12-Datos!BE12)/Datos!BE12," - ")</f>
        <v>-0.14876189825123387</v>
      </c>
      <c r="J12" s="394">
        <f>IF(ISNUMBER((Tasas!D12-Datos!BF12)/Datos!BF12),(Tasas!D12-Datos!BF12)/Datos!BF12," - ")</f>
        <v>-0.34157434598360281</v>
      </c>
      <c r="K12" s="396">
        <f>IF(ISNUMBER((Tasas!E12-Datos!BG12)/Datos!BG12),(Tasas!E12-Datos!BG12)/Datos!BG12," - ")</f>
        <v>-7.6246967842389393E-2</v>
      </c>
      <c r="M12" t="e">
        <f>IF(Monitorios="SI",Datos!CE12,0)</f>
        <v>#REF!</v>
      </c>
      <c r="N12" t="e">
        <f>IF(Monitorios="SI",Datos!CF12,0)</f>
        <v>#REF!</v>
      </c>
      <c r="O12" t="e">
        <f>IF(Monitorios="SI",Datos!CG12,0)</f>
        <v>#REF!</v>
      </c>
      <c r="P12" t="e">
        <f>IF(Monitorios="SI",Datos!CH12,0)</f>
        <v>#REF!</v>
      </c>
      <c r="Q12">
        <f>IF(J_V="SI",0,Datos!AG12)</f>
        <v>205</v>
      </c>
      <c r="R12">
        <f>IF(J_V="SI",0,Datos!AH12)</f>
        <v>422</v>
      </c>
      <c r="S12">
        <f>IF(J_V="SI",0,Datos!AI12)</f>
        <v>431</v>
      </c>
      <c r="T12">
        <f>IF(J_V="SI",0,Datos!AJ12)</f>
        <v>195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1.1822660098522168E-2</v>
      </c>
      <c r="I14" s="402">
        <f>IF(ISNUMBER((Tasas!C14-Datos!BE14)/Datos!BE14),(Tasas!C14-Datos!BE14)/Datos!BE14," - ")</f>
        <v>-0.14582406654216165</v>
      </c>
      <c r="J14" s="400">
        <f>IF(ISNUMBER((Tasas!D14-Datos!BF14)/Datos!BF14),(Tasas!D14-Datos!BF14)/Datos!BF14," - ")</f>
        <v>-0.33620054956531226</v>
      </c>
      <c r="K14" s="403">
        <f>IF(ISNUMBER((Tasas!E14-Datos!BG14)/Datos!BG14),(Tasas!E14-Datos!BG14)/Datos!BG14," - ")</f>
        <v>-7.531409568859411E-2</v>
      </c>
      <c r="M14" t="e">
        <f>IF(Monitorios="SI",Datos!CE14,0)</f>
        <v>#REF!</v>
      </c>
      <c r="N14" t="e">
        <f>IF(Monitorios="SI",Datos!CF14,0)</f>
        <v>#REF!</v>
      </c>
      <c r="O14" t="e">
        <f>IF(Monitorios="SI",Datos!CG14,0)</f>
        <v>#REF!</v>
      </c>
      <c r="P14" t="e">
        <f>IF(Monitorios="SI",Datos!CH14,0)</f>
        <v>#REF!</v>
      </c>
      <c r="Q14">
        <f>IF(J_V="SI",0,Datos!AG14)</f>
        <v>205</v>
      </c>
      <c r="R14">
        <f>IF(J_V="SI",0,Datos!AH14)</f>
        <v>422</v>
      </c>
      <c r="S14">
        <f>IF(J_V="SI",0,Datos!AI14)</f>
        <v>431</v>
      </c>
      <c r="T14">
        <f>IF(J_V="SI",0,Datos!AJ14)</f>
        <v>195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8.9601438417740487E-2</v>
      </c>
      <c r="E17" s="393">
        <f>IF(ISNUMBER(
   IF(D_I="SI",(Datos!J17-Datos!T17)/Datos!T17,(Datos!J17+Datos!AD17-(Datos!T17+Datos!AL17))/(Datos!T17+Datos!AL17))
     ),IF(D_I="SI",(Datos!J17-Datos!T17)/Datos!T17,(Datos!J17+Datos!AD17-(Datos!T17+Datos!AL17))/(Datos!T17+Datos!AL17))," - ")</f>
        <v>9.7235238987816303E-2</v>
      </c>
      <c r="F17" s="393">
        <f>IF(ISNUMBER(
   IF(D_I="SI",(Datos!K17-Datos!U17)/Datos!U17,(Datos!K17+Datos!AE17-(Datos!U17+Datos!AM17))/(Datos!U17+Datos!AM17))
     ),IF(D_I="SI",(Datos!K17-Datos!U17)/Datos!U17,(Datos!K17+Datos!AE17-(Datos!U17+Datos!AM17))/(Datos!U17+Datos!AM17))," - ")</f>
        <v>8.4586017656883797E-2</v>
      </c>
      <c r="G17" s="394">
        <f>IF(ISNUMBER(
   IF(D_I="SI",(Datos!L17-Datos!V17)/Datos!V17,(Datos!L17+Datos!AF17-(Datos!V17+Datos!AN17))/(Datos!V17+Datos!AN17))
     ),IF(D_I="SI",(Datos!L17-Datos!V17)/Datos!V17,(Datos!L17+Datos!AF17-(Datos!V17+Datos!AN17))/(Datos!V17+Datos!AN17))," - ")</f>
        <v>9.6534653465346537E-2</v>
      </c>
      <c r="H17" s="244">
        <f>IF(ISNUMBER((Datos!M17-Datos!W17)/Datos!W17),(Datos!M17-Datos!W17)/Datos!W17," - ")</f>
        <v>8.2699619771863117E-2</v>
      </c>
      <c r="I17" s="395">
        <f>IF(ISNUMBER((Tasas!C17-Datos!BE17)/Datos!BE17),(Tasas!C17-Datos!BE17)/Datos!BE17," - ")</f>
        <v>1.1016771020408571E-2</v>
      </c>
      <c r="J17" s="394">
        <f>IF(ISNUMBER((Tasas!D17-Datos!BF17)/Datos!BF17),(Tasas!D17-Datos!BF17)/Datos!BF17," - ")</f>
        <v>-1.7392791851548127E-3</v>
      </c>
      <c r="K17" s="396">
        <f>IF(ISNUMBER((Tasas!E17-Datos!BG17)/Datos!BG17),(Tasas!E17-Datos!BG17)/Datos!BG17," - ")</f>
        <v>9.6845077199022057E-3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-0.23776223776223776</v>
      </c>
      <c r="E18" s="393">
        <f>IF(ISNUMBER(
   IF(D_I="SI",(Datos!J18-Datos!T18)/Datos!T18,(Datos!J18+Datos!AD18-(Datos!T18+Datos!AL18))/(Datos!T18+Datos!AL18))
     ),IF(D_I="SI",(Datos!J18-Datos!T18)/Datos!T18,(Datos!J18+Datos!AD18-(Datos!T18+Datos!AL18))/(Datos!T18+Datos!AL18))," - ")</f>
        <v>3.0732860520094562E-2</v>
      </c>
      <c r="F18" s="393">
        <f>IF(ISNUMBER(
   IF(D_I="SI",(Datos!K18-Datos!U18)/Datos!U18,(Datos!K18+Datos!AE18-(Datos!U18+Datos!AM18))/(Datos!U18+Datos!AM18))
     ),IF(D_I="SI",(Datos!K18-Datos!U18)/Datos!U18,(Datos!K18+Datos!AE18-(Datos!U18+Datos!AM18))/(Datos!U18+Datos!AM18))," - ")</f>
        <v>2.6578073089700997E-2</v>
      </c>
      <c r="G18" s="394">
        <f>IF(ISNUMBER(
   IF(D_I="SI",(Datos!L18-Datos!V18)/Datos!V18,(Datos!L18+Datos!AF18-(Datos!V18+Datos!AN18))/(Datos!V18+Datos!AN18))
     ),IF(D_I="SI",(Datos!L18-Datos!V18)/Datos!V18,(Datos!L18+Datos!AF18-(Datos!V18+Datos!AN18))/(Datos!V18+Datos!AN18))," - ")</f>
        <v>-0.23853211009174313</v>
      </c>
      <c r="H18" s="244">
        <f>IF(ISNUMBER((Datos!M18-Datos!W18)/Datos!W18),(Datos!M18-Datos!W18)/Datos!W18," - ")</f>
        <v>-0.37662337662337664</v>
      </c>
      <c r="I18" s="395">
        <f>IF(ISNUMBER((Tasas!C18-Datos!BE18)/Datos!BE18),(Tasas!C18-Datos!BE18)/Datos!BE18," - ")</f>
        <v>-0.25824648911849418</v>
      </c>
      <c r="J18" s="394">
        <f>IF(ISNUMBER((Tasas!D18-Datos!BF18)/Datos!BF18),(Tasas!D18-Datos!BF18)/Datos!BF18," - ")</f>
        <v>-0.39276257722859659</v>
      </c>
      <c r="K18" s="396">
        <f>IF(ISNUMBER((Tasas!E18-Datos!BG18)/Datos!BG18),(Tasas!E18-Datos!BG18)/Datos!BG18," - ")</f>
        <v>-3.3769523005487662E-2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7.6149425287356326E-2</v>
      </c>
      <c r="E23" s="399">
        <f>IF(ISNUMBER(
   IF(D_I="SI",(Datos!J23-Datos!T23)/Datos!T23,(Datos!J23+Datos!AD23-(Datos!T23+Datos!AL23))/(Datos!T23+Datos!AL23))
     ),IF(D_I="SI",(Datos!J23-Datos!T23)/Datos!T23,(Datos!J23+Datos!AD23-(Datos!T23+Datos!AL23))/(Datos!T23+Datos!AL23))," - ")</f>
        <v>9.1238541888723088E-2</v>
      </c>
      <c r="F23" s="399">
        <f>IF(ISNUMBER(
   IF(D_I="SI",(Datos!K23-Datos!U23)/Datos!U23,(Datos!K23+Datos!AE23-(Datos!U23+Datos!AM23))/(Datos!U23+Datos!AM23))
     ),IF(D_I="SI",(Datos!K23-Datos!U23)/Datos!U23,(Datos!K23+Datos!AE23-(Datos!U23+Datos!AM23))/(Datos!U23+Datos!AM23))," - ")</f>
        <v>7.8944534194938076E-2</v>
      </c>
      <c r="G23" s="400">
        <f>IF(ISNUMBER(
   IF(D_I="SI",(Datos!L23-Datos!V23)/Datos!V23,(Datos!L23+Datos!AF23-(Datos!V23+Datos!AN23))/(Datos!V23+Datos!AN23))
     ),IF(D_I="SI",(Datos!L23-Datos!V23)/Datos!V23,(Datos!L23+Datos!AF23-(Datos!V23+Datos!AN23))/(Datos!V23+Datos!AN23))," - ")</f>
        <v>8.678237650200267E-2</v>
      </c>
      <c r="H23" s="401">
        <f>IF(ISNUMBER((Datos!M23-Datos!W23)/Datos!W23),(Datos!M23-Datos!W23)/Datos!W23," - ")</f>
        <v>5.1372896368467667E-2</v>
      </c>
      <c r="I23" s="402">
        <f>IF(ISNUMBER((Tasas!C23-Datos!BE23)/Datos!BE23),(Tasas!C23-Datos!BE23)/Datos!BE23," - ")</f>
        <v>7.2643607327904135E-3</v>
      </c>
      <c r="J23" s="400">
        <f>IF(ISNUMBER((Tasas!D23-Datos!BF23)/Datos!BF23),(Tasas!D23-Datos!BF23)/Datos!BF23," - ")</f>
        <v>-2.5554268039406827E-2</v>
      </c>
      <c r="K23" s="403">
        <f>IF(ISNUMBER((Tasas!E23-Datos!BG23)/Datos!BG23),(Tasas!E23-Datos!BG23)/Datos!BG23," - ")</f>
        <v>7.6106128235231638E-3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3.9848778992541127E-2</v>
      </c>
      <c r="E31" s="409">
        <f>IF(ISNUMBER(
   IF(J_V="SI",(Datos!J31-Datos!T31)/Datos!T31,(Datos!J31+Datos!Z31-(Datos!T31+Datos!AH31))/(Datos!T31+Datos!AH31))
     ),IF(J_V="SI",(Datos!J31-Datos!T31)/Datos!T31,(Datos!J31+Datos!Z31-(Datos!T31+Datos!AH31))/(Datos!T31+Datos!AH31))," - ")</f>
        <v>0.1966746119411662</v>
      </c>
      <c r="F31" s="409">
        <f>IF(ISNUMBER(
   IF(J_V="SI",(Datos!K31-Datos!U31)/Datos!U31,(Datos!K31+Datos!AA31-(Datos!U31+Datos!AI31))/(Datos!U31+Datos!AI31))
     ),IF(J_V="SI",(Datos!K31-Datos!U31)/Datos!U31,(Datos!K31+Datos!AA31-(Datos!U31+Datos!AI31))/(Datos!U31+Datos!AI31))," - ")</f>
        <v>0.17164311476379115</v>
      </c>
      <c r="G31" s="410">
        <f>IF(ISNUMBER(
   IF(J_V="SI",(Datos!L31-Datos!V31)/Datos!V31,(Datos!L31+Datos!AB31-(Datos!V31+Datos!AJ31))/(Datos!V31+Datos!AJ31))
     ),IF(J_V="SI",(Datos!L31-Datos!V31)/Datos!V31,(Datos!L31+Datos!AB31-(Datos!V31+Datos!AJ31))/(Datos!V31+Datos!AJ31))," - ")</f>
        <v>9.3347744915004416E-2</v>
      </c>
      <c r="H31" s="411">
        <f>IF(ISNUMBER((Datos!M31-Datos!W31)/Datos!W31),(Datos!M31-Datos!W31)/Datos!W31," - ")</f>
        <v>2.5957581513137068E-2</v>
      </c>
      <c r="I31" s="408">
        <f>IF(ISNUMBER((Tasas!C31-Datos!BE31)/Datos!BE31),(Tasas!C31-Datos!BE31)/Datos!BE31," - ")</f>
        <v>-6.6825272015166082E-2</v>
      </c>
      <c r="J31" s="409">
        <f>IF(ISNUMBER((Tasas!D31-Datos!BF31)/Datos!BF31),(Tasas!D31-Datos!BF31)/Datos!BF31," - ")</f>
        <v>-0.2181456482738994</v>
      </c>
      <c r="K31" s="410">
        <f>IF(ISNUMBER((Tasas!E31-Datos!BG31)/Datos!BG31),(Tasas!E31-Datos!BG31)/Datos!BG31," - ")</f>
        <v>-2.7175715036913774E-2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0.16847218851665879</v>
      </c>
      <c r="E33" s="303">
        <f t="shared" si="1"/>
        <v>6.6620683626460023E-2</v>
      </c>
      <c r="F33" s="303">
        <f t="shared" si="1"/>
        <v>2.6312425778856167E-2</v>
      </c>
      <c r="G33" s="304">
        <f t="shared" si="1"/>
        <v>0.17767865856201753</v>
      </c>
      <c r="H33" s="310">
        <f t="shared" si="1"/>
        <v>0.18304588617566794</v>
      </c>
      <c r="I33" s="302">
        <f t="shared" si="1"/>
        <v>0.12765587990347135</v>
      </c>
      <c r="J33" s="303">
        <f t="shared" si="1"/>
        <v>0.2038021852646589</v>
      </c>
      <c r="K33" s="304">
        <f t="shared" si="1"/>
        <v>3.7907899317711324E-2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rGumsFdWfnDR42bSBklZX7KYMx/G+UlHjsVPndR927rL94BZmKkx2aZ37g8m8xoreicF1uZkojv6ZR/tUkbYA==" saltValue="zYrhDkbAiKwFc+QAfrQ+K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